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5.25\Temp2\Temp2\ТК ЛАБ 2024г\зас. ТКЛАБ 66-3-2024\Материалы заседания\КЦА-ПА 11 ООС\"/>
    </mc:Choice>
  </mc:AlternateContent>
  <xr:revisionPtr revIDLastSave="0" documentId="13_ncr:1_{55D48C64-8F65-487C-B1AC-FFCB86237554}" xr6:coauthVersionLast="46" xr6:coauthVersionMax="47" xr10:uidLastSave="{00000000-0000-0000-0000-000000000000}"/>
  <bookViews>
    <workbookView xWindow="-108" yWindow="-108" windowWidth="23256" windowHeight="12576" xr2:uid="{4C30167A-F3E4-48A8-A35A-1570C26B683C}"/>
  </bookViews>
  <sheets>
    <sheet name="Предел обнаружения" sheetId="6" r:id="rId1"/>
    <sheet name="Прецизионность" sheetId="3" r:id="rId2"/>
    <sheet name="Правильность" sheetId="4" r:id="rId3"/>
    <sheet name="Неопределенность" sheetId="7" r:id="rId4"/>
  </sheets>
  <definedNames>
    <definedName name="_Hlk167449466" localSheetId="2">Правильность!$A$40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7" l="1"/>
  <c r="I38" i="7"/>
  <c r="M15" i="7"/>
  <c r="H10" i="7"/>
  <c r="B42" i="7"/>
  <c r="B41" i="7"/>
  <c r="G27" i="7"/>
  <c r="G26" i="7"/>
  <c r="M14" i="7"/>
  <c r="G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E32" i="4"/>
  <c r="E42" i="4"/>
  <c r="E43" i="4"/>
  <c r="E40" i="4"/>
  <c r="D40" i="4"/>
  <c r="D44" i="4"/>
  <c r="I26" i="7" l="1"/>
  <c r="B43" i="7"/>
  <c r="H27" i="7"/>
  <c r="I25" i="7"/>
  <c r="I27" i="7"/>
  <c r="H25" i="7"/>
  <c r="H26" i="7"/>
  <c r="D34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12" i="6"/>
  <c r="G39" i="6" s="1"/>
  <c r="G40" i="6" s="1"/>
  <c r="G35" i="6"/>
  <c r="G36" i="6" s="1"/>
  <c r="G34" i="6"/>
  <c r="D35" i="6"/>
  <c r="F43" i="3"/>
  <c r="D32" i="4"/>
  <c r="E31" i="4"/>
  <c r="D31" i="4"/>
  <c r="E12" i="4"/>
  <c r="D12" i="4"/>
  <c r="F42" i="3"/>
  <c r="F33" i="3" s="1"/>
  <c r="F36" i="3"/>
  <c r="F25" i="3"/>
  <c r="F26" i="3" s="1"/>
  <c r="F13" i="3"/>
  <c r="H10" i="3"/>
  <c r="G10" i="3" s="1"/>
  <c r="F10" i="3"/>
  <c r="H9" i="3"/>
  <c r="G9" i="3" s="1"/>
  <c r="F9" i="3"/>
  <c r="H8" i="3"/>
  <c r="F8" i="3"/>
  <c r="H7" i="3"/>
  <c r="G7" i="3" s="1"/>
  <c r="F7" i="3"/>
  <c r="H6" i="3"/>
  <c r="G6" i="3" s="1"/>
  <c r="F6" i="3"/>
  <c r="I28" i="7" l="1"/>
  <c r="D36" i="6"/>
  <c r="D39" i="6" s="1"/>
  <c r="E37" i="4"/>
  <c r="D37" i="4"/>
  <c r="D36" i="4"/>
  <c r="F16" i="4" s="1"/>
  <c r="E36" i="4"/>
  <c r="D33" i="4"/>
  <c r="E33" i="4"/>
  <c r="D42" i="4"/>
  <c r="D41" i="4"/>
  <c r="D43" i="4" s="1"/>
  <c r="D45" i="4" s="1"/>
  <c r="D46" i="4" s="1"/>
  <c r="D47" i="4" s="1"/>
  <c r="E41" i="4"/>
  <c r="E45" i="4" s="1"/>
  <c r="E46" i="4" s="1"/>
  <c r="E47" i="4" s="1"/>
  <c r="F11" i="3"/>
  <c r="F14" i="3"/>
  <c r="F28" i="3" s="1"/>
  <c r="F16" i="3"/>
  <c r="F17" i="3" s="1"/>
  <c r="F29" i="3" s="1"/>
  <c r="G8" i="3"/>
  <c r="I40" i="7" l="1"/>
  <c r="G18" i="4"/>
  <c r="G22" i="4"/>
  <c r="G26" i="4"/>
  <c r="G30" i="4"/>
  <c r="G19" i="4"/>
  <c r="G23" i="4"/>
  <c r="G27" i="4"/>
  <c r="G16" i="4"/>
  <c r="G20" i="4"/>
  <c r="G24" i="4"/>
  <c r="G28" i="4"/>
  <c r="G17" i="4"/>
  <c r="G21" i="4"/>
  <c r="G25" i="4"/>
  <c r="G29" i="4"/>
  <c r="F19" i="4"/>
  <c r="F25" i="4"/>
  <c r="F29" i="4"/>
  <c r="F22" i="4"/>
  <c r="F20" i="4"/>
  <c r="F26" i="4"/>
  <c r="F30" i="4"/>
  <c r="F21" i="4"/>
  <c r="F17" i="4"/>
  <c r="F23" i="4"/>
  <c r="F27" i="4"/>
  <c r="F18" i="4"/>
  <c r="F24" i="4"/>
  <c r="F28" i="4"/>
  <c r="F15" i="3"/>
  <c r="F30" i="3"/>
  <c r="F31" i="3" s="1"/>
  <c r="F35" i="3" s="1"/>
  <c r="F37" i="3" s="1"/>
  <c r="F19" i="3"/>
  <c r="F20" i="3" s="1"/>
  <c r="F21" i="3" s="1"/>
  <c r="F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User</author>
  </authors>
  <commentList>
    <comment ref="F6" authorId="0" shapeId="0" xr:uid="{3EF6AC61-D19A-4626-B0E6-5E346674CDC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Ввести ФИО специалиста выполнявшего исследования</t>
        </r>
      </text>
    </comment>
    <comment ref="F7" authorId="0" shapeId="0" xr:uid="{743887B3-9683-4A14-B4B1-8035DB97664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Ввести название исследуемого Аналита</t>
        </r>
      </text>
    </comment>
    <comment ref="F10" authorId="1" shapeId="0" xr:uid="{D1FC4C98-FFC8-4C8A-8EF8-CBDB035E17A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Результаты измерений пробы с минимальной концентрацией</t>
        </r>
      </text>
    </comment>
    <comment ref="G34" authorId="0" shapeId="0" xr:uid="{B3D4F0D9-4FB1-497E-B26E-870268B2744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Ввести Значение Предела Обнаружения Теста из Инструкции Производителя</t>
        </r>
      </text>
    </comment>
    <comment ref="G36" authorId="0" shapeId="0" xr:uid="{7809A670-F11C-4835-9F6C-93C6B58108D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Интерпретация результата Эксперимента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Наталия Бабак</author>
  </authors>
  <commentList>
    <comment ref="B31" authorId="0" shapeId="0" xr:uid="{E79E57AE-7240-4B46-9CBB-D4738CAEA211}">
      <text>
        <r>
          <rPr>
            <b/>
            <sz val="9"/>
            <color indexed="81"/>
            <rFont val="Tahoma"/>
            <family val="2"/>
            <charset val="204"/>
          </rPr>
          <t xml:space="preserve">среднее значение всех результатов
</t>
        </r>
      </text>
    </comment>
    <comment ref="B32" authorId="0" shapeId="0" xr:uid="{FFBC742A-9757-4C69-AE0E-007DAABAC68A}">
      <text>
        <r>
          <rPr>
            <sz val="9"/>
            <color indexed="81"/>
            <rFont val="Tahoma"/>
            <family val="2"/>
            <charset val="204"/>
          </rPr>
          <t xml:space="preserve">приписанное значение контрольного материала
</t>
        </r>
      </text>
    </comment>
    <comment ref="B33" authorId="0" shapeId="0" xr:uid="{420E9B7E-E0E9-4CFC-B630-9243879287C0}">
      <text>
        <r>
          <rPr>
            <sz val="9"/>
            <color indexed="81"/>
            <rFont val="Tahoma"/>
            <family val="2"/>
            <charset val="204"/>
          </rPr>
          <t>аналитическое смещение</t>
        </r>
      </text>
    </comment>
    <comment ref="B40" authorId="0" shapeId="0" xr:uid="{DFF059B7-AFD1-4E8F-8EC6-5A6F98CC724B}">
      <text>
        <r>
          <rPr>
            <sz val="9"/>
            <color indexed="81"/>
            <rFont val="Tahoma"/>
            <family val="2"/>
            <charset val="204"/>
          </rPr>
          <t>стандартное отклонение внутрилабораторного смещения</t>
        </r>
      </text>
    </comment>
    <comment ref="B43" authorId="0" shapeId="0" xr:uid="{7BB487C6-2413-4A05-8F47-92A33A65C893}">
      <text>
        <r>
          <rPr>
            <sz val="9"/>
            <color indexed="81"/>
            <rFont val="Tahoma"/>
            <family val="2"/>
            <charset val="204"/>
          </rPr>
          <t>комбинированная стандартная неопределенность смещения</t>
        </r>
      </text>
    </comment>
  </commentList>
</comments>
</file>

<file path=xl/sharedStrings.xml><?xml version="1.0" encoding="utf-8"?>
<sst xmlns="http://schemas.openxmlformats.org/spreadsheetml/2006/main" count="285" uniqueCount="216">
  <si>
    <t>Аналит</t>
  </si>
  <si>
    <t>Общая амилаза в сыворотке</t>
  </si>
  <si>
    <t>CLSI EP15-A2 Оценка воспроизводимости</t>
  </si>
  <si>
    <t>Оператор</t>
  </si>
  <si>
    <t>Уровень</t>
  </si>
  <si>
    <t>Клименкова</t>
  </si>
  <si>
    <t>Дата</t>
  </si>
  <si>
    <t>Повтор 1</t>
  </si>
  <si>
    <t>Повтор 2</t>
  </si>
  <si>
    <t>Повтор 3</t>
  </si>
  <si>
    <t>Xср.</t>
  </si>
  <si>
    <t>Расчет лабораторного CD и CV</t>
  </si>
  <si>
    <t>Общее среднее</t>
  </si>
  <si>
    <t>Внутрисерийное SD</t>
  </si>
  <si>
    <t>Общая дисперсия</t>
  </si>
  <si>
    <t>Лабораторное SD</t>
  </si>
  <si>
    <t>Числитель</t>
  </si>
  <si>
    <t>Знаменатель</t>
  </si>
  <si>
    <t>Числитель/знаменатель</t>
  </si>
  <si>
    <t>Калькулятор спецификации производителя</t>
  </si>
  <si>
    <t>CV (указано в инструкции к реагенту)</t>
  </si>
  <si>
    <t>Расчет критических пределов Граббса</t>
  </si>
  <si>
    <t>Расчет верификационного SD (VV)</t>
  </si>
  <si>
    <t xml:space="preserve">Лабораторное SD &lt; верификационного SD </t>
  </si>
  <si>
    <t>Результаты исследований</t>
  </si>
  <si>
    <t>№ п/п</t>
  </si>
  <si>
    <t>Уровень 1</t>
  </si>
  <si>
    <t>Уровень 2</t>
  </si>
  <si>
    <t>Уровни</t>
  </si>
  <si>
    <t>GM</t>
  </si>
  <si>
    <t>Bias</t>
  </si>
  <si>
    <t>S CRM</t>
  </si>
  <si>
    <t>Cref</t>
  </si>
  <si>
    <t>Ubias</t>
  </si>
  <si>
    <t>sRw</t>
  </si>
  <si>
    <t>Неопределенность</t>
  </si>
  <si>
    <t>Название контроля</t>
  </si>
  <si>
    <t>MULTI IA+</t>
  </si>
  <si>
    <t>Серия контроля</t>
  </si>
  <si>
    <t>Приписанные значения контрольного материала</t>
  </si>
  <si>
    <t>Диапазон</t>
  </si>
  <si>
    <t>(Cref-3σ)</t>
  </si>
  <si>
    <t>(Cref+3σ)</t>
  </si>
  <si>
    <t>u(Cref)=((Cref+3σ)-Cref)/3</t>
  </si>
  <si>
    <t>Верификация предела обнаружения</t>
  </si>
  <si>
    <t>Определение Предела Бланка LoB</t>
  </si>
  <si>
    <t>Материал</t>
  </si>
  <si>
    <t>Альбумин</t>
  </si>
  <si>
    <t>Повторы</t>
  </si>
  <si>
    <t>Результаты</t>
  </si>
  <si>
    <t>Повтор 4</t>
  </si>
  <si>
    <t>Повтор 5</t>
  </si>
  <si>
    <t>n (4*5 количество результатов)</t>
  </si>
  <si>
    <r>
      <t>S CRM/</t>
    </r>
    <r>
      <rPr>
        <sz val="12"/>
        <color indexed="8"/>
        <rFont val="Calibri"/>
        <family val="2"/>
        <charset val="204"/>
      </rPr>
      <t>√</t>
    </r>
    <r>
      <rPr>
        <sz val="12"/>
        <color indexed="8"/>
        <rFont val="Times New Roman"/>
        <family val="1"/>
        <charset val="204"/>
      </rPr>
      <t>n</t>
    </r>
  </si>
  <si>
    <t>A</t>
  </si>
  <si>
    <t>B</t>
  </si>
  <si>
    <t>C</t>
  </si>
  <si>
    <t>D</t>
  </si>
  <si>
    <t>E</t>
  </si>
  <si>
    <t>F</t>
  </si>
  <si>
    <t>G</t>
  </si>
  <si>
    <t>Внутрисерийная средняя</t>
  </si>
  <si>
    <t>Внутрисерийная SD</t>
  </si>
  <si>
    <t>Дисперсия</t>
  </si>
  <si>
    <t>Среднее Е5:Е9</t>
  </si>
  <si>
    <t>Средняя G5:G9</t>
  </si>
  <si>
    <t>Межсерийное SD</t>
  </si>
  <si>
    <t>SD (Е5:E9)</t>
  </si>
  <si>
    <t>E13/E16</t>
  </si>
  <si>
    <t>(E19/E12)*100</t>
  </si>
  <si>
    <t>nSb</t>
  </si>
  <si>
    <t>Среднее (указано в инструкции к реагенту)</t>
  </si>
  <si>
    <t>Отношение (Sr^2)/(Sb^2)</t>
  </si>
  <si>
    <t>Межсерийная дисперсия (Sb^2)</t>
  </si>
  <si>
    <t>Внутрисерийная дисперсия (Sr^2)</t>
  </si>
  <si>
    <t>Лабораторный CV</t>
  </si>
  <si>
    <t>Сумма (А22 + A23)</t>
  </si>
  <si>
    <t>F15^2</t>
  </si>
  <si>
    <t>КОРЕНЬ (Е18)</t>
  </si>
  <si>
    <t>КОРЕНЬ (Е13)</t>
  </si>
  <si>
    <t>(n - 1)/D</t>
  </si>
  <si>
    <t>(n - 1/D)*Sr^4</t>
  </si>
  <si>
    <t>(n - 1)Sr</t>
  </si>
  <si>
    <t>Сумма (А27 + A28)</t>
  </si>
  <si>
    <t>Число эффективных степеней свободы ν</t>
  </si>
  <si>
    <t>Фактическое число эффективных степеней свободы ν</t>
  </si>
  <si>
    <t>Теоретическое число эффективных степеней свободы С</t>
  </si>
  <si>
    <t>(SD согласно спецификации)</t>
  </si>
  <si>
    <t>CLSI EP15-A3 Оценка правильности</t>
  </si>
  <si>
    <t>Срок годности</t>
  </si>
  <si>
    <t xml:space="preserve">среднее </t>
  </si>
  <si>
    <t>Референтное значение, Cref</t>
  </si>
  <si>
    <t>D(E)8</t>
  </si>
  <si>
    <t>D(E)31-D(E)32</t>
  </si>
  <si>
    <t>SD (D(E)16:D(E)30)</t>
  </si>
  <si>
    <t>(D(E)34/КОРЕНЬ(B30)</t>
  </si>
  <si>
    <t>u(Cref)</t>
  </si>
  <si>
    <t>D(E)11</t>
  </si>
  <si>
    <t>ЕСЛИ(F19&lt;F32 "Соответствует"; "Не соотвествует")</t>
  </si>
  <si>
    <t>Критическое знач. критерия Граббса для 0,01%; 5*3 количества результатов 
(табличное значение ISO 5725-2)</t>
  </si>
  <si>
    <t>Нижний критический предел (D(E)31-D35*D(E)11)</t>
  </si>
  <si>
    <t>Верхний критический предел (D(E)31+D35*D(E)11)</t>
  </si>
  <si>
    <t>Проверка на выбросы</t>
  </si>
  <si>
    <t xml:space="preserve">Оценка неопределенности измерений смещения </t>
  </si>
  <si>
    <t>А</t>
  </si>
  <si>
    <t>КОРЕНЬ(СУММКВ(D(E)39:D(E)41))</t>
  </si>
  <si>
    <t>CLSI EP-17A Верификация предела обнаружения</t>
  </si>
  <si>
    <r>
      <t xml:space="preserve">Среднеквадратическое отклонение бланка </t>
    </r>
    <r>
      <rPr>
        <sz val="12"/>
        <color theme="1"/>
        <rFont val="Calibri"/>
        <family val="2"/>
        <charset val="204"/>
      </rPr>
      <t>σ</t>
    </r>
    <r>
      <rPr>
        <sz val="12"/>
        <color theme="1"/>
        <rFont val="Times New Roman"/>
        <family val="1"/>
        <charset val="204"/>
      </rPr>
      <t>B</t>
    </r>
  </si>
  <si>
    <r>
      <t xml:space="preserve">Среднее значение бланка </t>
    </r>
    <r>
      <rPr>
        <sz val="12"/>
        <color theme="1"/>
        <rFont val="Calibri"/>
        <family val="2"/>
        <charset val="204"/>
      </rPr>
      <t>μ</t>
    </r>
    <r>
      <rPr>
        <sz val="12"/>
        <color theme="1"/>
        <rFont val="Times New Roman"/>
        <family val="1"/>
        <charset val="204"/>
      </rPr>
      <t>B</t>
    </r>
  </si>
  <si>
    <t>Спецификация производителя</t>
  </si>
  <si>
    <t>LOВ=μB+1,645σB</t>
  </si>
  <si>
    <t xml:space="preserve">Предел Бланка LОB </t>
  </si>
  <si>
    <t>Биоматериал</t>
  </si>
  <si>
    <t>сыворотка</t>
  </si>
  <si>
    <t>Расчеты предела измерений холостойй пробы (бланка) и предела обнаружения</t>
  </si>
  <si>
    <t>Верификация LOB</t>
  </si>
  <si>
    <t>LOB произв.</t>
  </si>
  <si>
    <t>LOВ &lt; LOB произв.</t>
  </si>
  <si>
    <t>Дата исследования</t>
  </si>
  <si>
    <t>LOD произв.</t>
  </si>
  <si>
    <t>Предел обнаружения</t>
  </si>
  <si>
    <t>LOD=LOB+1,645σS</t>
  </si>
  <si>
    <t>Бланк (B)</t>
  </si>
  <si>
    <t>проба с min конц. (S)</t>
  </si>
  <si>
    <r>
      <t xml:space="preserve">Среднее значение пробы с min концентрацией </t>
    </r>
    <r>
      <rPr>
        <sz val="12"/>
        <color theme="1"/>
        <rFont val="Calibri"/>
        <family val="2"/>
        <charset val="204"/>
      </rPr>
      <t>μS</t>
    </r>
  </si>
  <si>
    <t>Единицы измерения</t>
  </si>
  <si>
    <t>мг/л</t>
  </si>
  <si>
    <t>СРЗНАЧ(D9:D28)</t>
  </si>
  <si>
    <t>СТАНДОТКЛОН.В(D9:D28)</t>
  </si>
  <si>
    <t>D31+1,645*D32</t>
  </si>
  <si>
    <t>СРЗНАЧ(F9:F28)</t>
  </si>
  <si>
    <t>СТАНДОТКЛОН.В(F9:F28)</t>
  </si>
  <si>
    <t>D35+1,645*G32</t>
  </si>
  <si>
    <t>Х&lt;LOB</t>
  </si>
  <si>
    <t>Верификация LOD</t>
  </si>
  <si>
    <t>количество&lt;LOB</t>
  </si>
  <si>
    <t>не более 3 рез.&lt;=LOB</t>
  </si>
  <si>
    <t>фактич. Конц.</t>
  </si>
  <si>
    <t>г/л</t>
  </si>
  <si>
    <t>Суммарная неопределенность</t>
  </si>
  <si>
    <t>Расширенная неопределнность</t>
  </si>
  <si>
    <t>%</t>
  </si>
  <si>
    <t>n</t>
  </si>
  <si>
    <t>RSD</t>
  </si>
  <si>
    <t>Формула для оценки неопределенности измерений</t>
  </si>
  <si>
    <t>a) Расчитать RSD fиз данных ежедневного контроля качества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</si>
  <si>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</si>
  <si>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</si>
  <si>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</si>
  <si>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</si>
  <si>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</si>
  <si>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</si>
  <si>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</si>
  <si>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</si>
  <si>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</si>
  <si>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</si>
  <si>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</si>
  <si>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День 12</t>
  </si>
  <si>
    <t>День 13</t>
  </si>
  <si>
    <t>День 14</t>
  </si>
  <si>
    <t>День 15</t>
  </si>
  <si>
    <t>День 16</t>
  </si>
  <si>
    <t>День 17</t>
  </si>
  <si>
    <t>День 18</t>
  </si>
  <si>
    <t>День 19</t>
  </si>
  <si>
    <t>День 20</t>
  </si>
  <si>
    <t>День 21</t>
  </si>
  <si>
    <t>День 22</t>
  </si>
  <si>
    <t>День 23</t>
  </si>
  <si>
    <t>День 24</t>
  </si>
  <si>
    <t>День 25</t>
  </si>
  <si>
    <t>День 26</t>
  </si>
  <si>
    <t>День 27</t>
  </si>
  <si>
    <t>День 28</t>
  </si>
  <si>
    <t>День 29</t>
  </si>
  <si>
    <t>День 30</t>
  </si>
  <si>
    <t>День 31</t>
  </si>
  <si>
    <t>Среднее</t>
  </si>
  <si>
    <t>СКО</t>
  </si>
  <si>
    <t xml:space="preserve">b) Расчет результатов оценки точности по сравнению с CRM </t>
  </si>
  <si>
    <t>Повтор</t>
  </si>
  <si>
    <t>День</t>
  </si>
  <si>
    <t>Результат</t>
  </si>
  <si>
    <t>Смещение</t>
  </si>
  <si>
    <t>c) Известные значения СRM</t>
  </si>
  <si>
    <t>±</t>
  </si>
  <si>
    <t>Интервал</t>
  </si>
  <si>
    <t>k=</t>
  </si>
  <si>
    <t>Сертифицированное значение</t>
  </si>
  <si>
    <t>Результат-сертиф. значение</t>
  </si>
  <si>
    <t>среднее</t>
  </si>
  <si>
    <t>Смещение в %</t>
  </si>
  <si>
    <t>СКО смещения</t>
  </si>
  <si>
    <t>корень из n</t>
  </si>
  <si>
    <t>относительное Sbias деленое на корень из n</t>
  </si>
  <si>
    <t>стандартная неопределенность; U деленая на 2</t>
  </si>
  <si>
    <t>Расширенная неопределенность, U</t>
  </si>
  <si>
    <t>относительная стандартная неопределенность, u</t>
  </si>
  <si>
    <t>b) суммарная неопределнность</t>
  </si>
  <si>
    <t xml:space="preserve">c) расширенная неопределнность, U *2 </t>
  </si>
  <si>
    <t>окончачательная неопрпеленность для использования</t>
  </si>
  <si>
    <t>из расчетов выше</t>
  </si>
  <si>
    <t>a) Неопределенность смещения</t>
  </si>
  <si>
    <t>Мастер файл по верификации медицинских анализаторов</t>
  </si>
  <si>
    <t>Рекомендуемый</t>
  </si>
  <si>
    <t>Количество повторов, n</t>
  </si>
  <si>
    <t>Количество дней, D</t>
  </si>
  <si>
    <t>((C2-1)/C2)*E13 + E16</t>
  </si>
  <si>
    <t>Расчет фактического числа степеней свободы ν</t>
  </si>
  <si>
    <t>(А23 + A24)^2</t>
  </si>
  <si>
    <t>n^2*(Sb^4)/(D - 1)</t>
  </si>
  <si>
    <t>Спецификация производителя  (SD согласно спецификации)</t>
  </si>
  <si>
    <t>Корень (F33)</t>
  </si>
  <si>
    <t>Корень (F34)</t>
  </si>
  <si>
    <t>VV                     F33/F34*F32</t>
  </si>
  <si>
    <t>Приложение к
 КЦА-ПА 11 ООС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</si>
</sst>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6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1" fillId="9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7" borderId="1" xfId="0" applyFont="1" applyFill="1" applyBorder="1"/>
    <xf numFmtId="0" fontId="1" fillId="0" borderId="1" xfId="0" applyFont="1" applyBorder="1"/>
    <xf numFmtId="0" fontId="1" fillId="8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/>
    <xf numFmtId="0" fontId="1" fillId="2" borderId="9" xfId="0" applyFont="1" applyFill="1" applyBorder="1"/>
    <xf numFmtId="2" fontId="1" fillId="2" borderId="9" xfId="0" applyNumberFormat="1" applyFon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2" fontId="8" fillId="0" borderId="0" xfId="0" applyNumberFormat="1" applyFont="1"/>
    <xf numFmtId="2" fontId="1" fillId="0" borderId="0" xfId="0" applyNumberFormat="1" applyFont="1"/>
    <xf numFmtId="0" fontId="1" fillId="0" borderId="13" xfId="0" applyFont="1" applyBorder="1" applyAlignment="1">
      <alignment horizontal="center"/>
    </xf>
    <xf numFmtId="14" fontId="1" fillId="0" borderId="14" xfId="0" applyNumberFormat="1" applyFont="1" applyBorder="1"/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14" fontId="1" fillId="11" borderId="1" xfId="0" applyNumberFormat="1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7" xfId="0" applyBorder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/>
    <xf numFmtId="0" fontId="7" fillId="2" borderId="1" xfId="0" applyFont="1" applyFill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1" xfId="0" applyNumberFormat="1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/>
    </xf>
    <xf numFmtId="0" fontId="7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12" borderId="3" xfId="0" applyFont="1" applyFill="1" applyBorder="1" applyAlignment="1">
      <alignment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right" vertical="center" wrapText="1"/>
    </xf>
    <xf numFmtId="0" fontId="7" fillId="12" borderId="3" xfId="0" applyFon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4" fontId="1" fillId="0" borderId="1" xfId="0" applyNumberFormat="1" applyFont="1" applyBorder="1"/>
    <xf numFmtId="164" fontId="8" fillId="0" borderId="1" xfId="0" applyNumberFormat="1" applyFont="1" applyBorder="1"/>
    <xf numFmtId="165" fontId="0" fillId="0" borderId="1" xfId="0" applyNumberFormat="1" applyBorder="1"/>
    <xf numFmtId="0" fontId="0" fillId="0" borderId="18" xfId="0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vertical="center" wrapText="1"/>
    </xf>
    <xf numFmtId="0" fontId="16" fillId="0" borderId="0" xfId="1"/>
    <xf numFmtId="0" fontId="17" fillId="0" borderId="1" xfId="1" applyFont="1" applyBorder="1"/>
    <xf numFmtId="0" fontId="16" fillId="0" borderId="1" xfId="1" applyBorder="1"/>
    <xf numFmtId="0" fontId="16" fillId="2" borderId="1" xfId="1" applyFill="1" applyBorder="1"/>
    <xf numFmtId="0" fontId="17" fillId="0" borderId="0" xfId="1" applyFont="1"/>
    <xf numFmtId="0" fontId="16" fillId="2" borderId="0" xfId="1" applyFill="1"/>
    <xf numFmtId="164" fontId="17" fillId="2" borderId="20" xfId="1" applyNumberFormat="1" applyFont="1" applyFill="1" applyBorder="1"/>
    <xf numFmtId="2" fontId="16" fillId="0" borderId="1" xfId="1" applyNumberFormat="1" applyBorder="1"/>
    <xf numFmtId="2" fontId="17" fillId="2" borderId="1" xfId="1" applyNumberFormat="1" applyFont="1" applyFill="1" applyBorder="1"/>
    <xf numFmtId="0" fontId="16" fillId="0" borderId="12" xfId="1" applyBorder="1"/>
    <xf numFmtId="0" fontId="16" fillId="2" borderId="12" xfId="1" applyFill="1" applyBorder="1"/>
    <xf numFmtId="0" fontId="12" fillId="0" borderId="1" xfId="1" applyFont="1" applyBorder="1"/>
    <xf numFmtId="0" fontId="19" fillId="0" borderId="0" xfId="1" applyFont="1" applyAlignment="1">
      <alignment horizontal="right"/>
    </xf>
    <xf numFmtId="0" fontId="16" fillId="0" borderId="0" xfId="1" applyAlignment="1">
      <alignment horizontal="right"/>
    </xf>
    <xf numFmtId="165" fontId="16" fillId="0" borderId="1" xfId="1" applyNumberFormat="1" applyBorder="1"/>
    <xf numFmtId="2" fontId="16" fillId="2" borderId="1" xfId="1" applyNumberFormat="1" applyFill="1" applyBorder="1"/>
    <xf numFmtId="2" fontId="16" fillId="0" borderId="3" xfId="1" applyNumberFormat="1" applyBorder="1"/>
    <xf numFmtId="0" fontId="16" fillId="0" borderId="3" xfId="1" applyBorder="1"/>
    <xf numFmtId="164" fontId="16" fillId="2" borderId="0" xfId="1" applyNumberFormat="1" applyFill="1"/>
    <xf numFmtId="0" fontId="15" fillId="2" borderId="1" xfId="1" applyFont="1" applyFill="1" applyBorder="1"/>
    <xf numFmtId="2" fontId="17" fillId="3" borderId="1" xfId="1" applyNumberFormat="1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" fillId="9" borderId="19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286B1A46-54EA-4B6C-88EE-DB66AE18C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518160</xdr:colOff>
      <xdr:row>33</xdr:row>
      <xdr:rowOff>15240</xdr:rowOff>
    </xdr:from>
    <xdr:to>
      <xdr:col>4</xdr:col>
      <xdr:colOff>690067</xdr:colOff>
      <xdr:row>34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88499BE-E5BD-4A88-8719-5C1D7E3F3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6" t="7407"/>
        <a:stretch/>
      </xdr:blipFill>
      <xdr:spPr bwMode="auto">
        <a:xfrm>
          <a:off x="4312920" y="6736080"/>
          <a:ext cx="1132027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3</xdr:col>
      <xdr:colOff>209550</xdr:colOff>
      <xdr:row>6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D8E79-2F41-47E7-9727-275A79733E8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" y="201930"/>
          <a:ext cx="2175511" cy="902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E6D2-247E-46D9-97F1-44B19E1FB5C3}">
  <dimension ref="A1:I51"/>
  <sheetViews>
    <sheetView tabSelected="1" workbookViewId="0">
      <selection activeCell="I4" sqref="I4"/>
    </sheetView>
  </sheetViews>
  <sheetFormatPr defaultRowHeight="15.6" x14ac:dyDescent="0.3"/>
  <cols>
    <col min="1" max="1" width="4.33203125" style="1" customWidth="1"/>
    <col min="2" max="2" width="19.77734375" style="1" customWidth="1"/>
    <col min="3" max="3" width="20.88671875" style="1" customWidth="1"/>
    <col min="4" max="4" width="14.21875" style="1" customWidth="1"/>
    <col min="5" max="5" width="22.109375" style="1" customWidth="1"/>
    <col min="6" max="6" width="21.88671875" style="1" customWidth="1"/>
    <col min="7" max="7" width="16.33203125" style="1" customWidth="1"/>
    <col min="8" max="8" width="12.6640625" style="1" bestFit="1" customWidth="1"/>
    <col min="9" max="9" width="22.77734375" style="98" customWidth="1"/>
    <col min="10" max="16384" width="8.88671875" style="1"/>
  </cols>
  <sheetData>
    <row r="1" spans="1:9" ht="31.2" customHeight="1" x14ac:dyDescent="0.35">
      <c r="B1" s="2" t="s">
        <v>215</v>
      </c>
      <c r="C1" s="158" t="s">
        <v>204</v>
      </c>
      <c r="D1" s="158"/>
      <c r="E1" s="159" t="s">
        <v>203</v>
      </c>
      <c r="F1" s="159"/>
      <c r="G1" s="159"/>
    </row>
    <row r="3" spans="1:9" x14ac:dyDescent="0.3">
      <c r="B3" s="1" t="s">
        <v>104</v>
      </c>
      <c r="C3" s="1" t="s">
        <v>55</v>
      </c>
      <c r="D3" s="1" t="s">
        <v>56</v>
      </c>
      <c r="E3" s="1" t="s">
        <v>57</v>
      </c>
      <c r="G3" s="1" t="s">
        <v>58</v>
      </c>
    </row>
    <row r="4" spans="1:9" x14ac:dyDescent="0.3">
      <c r="A4" s="1">
        <v>1</v>
      </c>
      <c r="B4" s="111" t="s">
        <v>106</v>
      </c>
      <c r="C4" s="111"/>
      <c r="D4" s="111"/>
      <c r="E4" s="111"/>
      <c r="F4" s="111"/>
      <c r="G4" s="111"/>
    </row>
    <row r="5" spans="1:9" x14ac:dyDescent="0.3">
      <c r="A5" s="1">
        <v>2</v>
      </c>
      <c r="B5" s="107" t="s">
        <v>45</v>
      </c>
      <c r="C5" s="107"/>
      <c r="D5" s="107"/>
      <c r="E5" s="107" t="s">
        <v>44</v>
      </c>
      <c r="F5" s="107"/>
      <c r="G5" s="107"/>
    </row>
    <row r="6" spans="1:9" x14ac:dyDescent="0.3">
      <c r="A6" s="1">
        <v>3</v>
      </c>
      <c r="B6" s="54" t="s">
        <v>3</v>
      </c>
      <c r="C6" s="110"/>
      <c r="D6" s="110"/>
      <c r="E6" s="57" t="s">
        <v>3</v>
      </c>
      <c r="F6" s="2"/>
    </row>
    <row r="7" spans="1:9" x14ac:dyDescent="0.3">
      <c r="A7" s="1">
        <v>4</v>
      </c>
      <c r="B7" s="54" t="s">
        <v>0</v>
      </c>
      <c r="C7" s="110" t="s">
        <v>47</v>
      </c>
      <c r="D7" s="110"/>
      <c r="E7" s="57" t="s">
        <v>0</v>
      </c>
      <c r="F7" s="2" t="s">
        <v>47</v>
      </c>
    </row>
    <row r="8" spans="1:9" x14ac:dyDescent="0.3">
      <c r="A8" s="1">
        <v>5</v>
      </c>
      <c r="B8" s="54" t="s">
        <v>112</v>
      </c>
      <c r="C8" s="104" t="s">
        <v>113</v>
      </c>
      <c r="D8" s="105"/>
      <c r="E8" s="60" t="s">
        <v>112</v>
      </c>
      <c r="F8" s="2" t="s">
        <v>113</v>
      </c>
    </row>
    <row r="9" spans="1:9" ht="15" customHeight="1" x14ac:dyDescent="0.3">
      <c r="A9" s="1">
        <v>6</v>
      </c>
      <c r="B9" s="54" t="s">
        <v>46</v>
      </c>
      <c r="C9" s="110" t="s">
        <v>122</v>
      </c>
      <c r="D9" s="110"/>
      <c r="E9" s="57" t="s">
        <v>123</v>
      </c>
      <c r="F9" s="2">
        <v>3</v>
      </c>
      <c r="G9" s="55" t="s">
        <v>137</v>
      </c>
      <c r="H9" s="64"/>
    </row>
    <row r="10" spans="1:9" x14ac:dyDescent="0.3">
      <c r="A10" s="1">
        <v>7</v>
      </c>
      <c r="B10" s="54" t="s">
        <v>118</v>
      </c>
      <c r="C10" s="55" t="s">
        <v>48</v>
      </c>
      <c r="D10" s="55" t="s">
        <v>49</v>
      </c>
      <c r="E10" s="57" t="s">
        <v>48</v>
      </c>
      <c r="F10" s="55" t="s">
        <v>49</v>
      </c>
      <c r="G10" s="62">
        <v>2.6</v>
      </c>
      <c r="H10" s="31"/>
      <c r="I10" s="99"/>
    </row>
    <row r="11" spans="1:9" ht="13.2" customHeight="1" x14ac:dyDescent="0.3">
      <c r="A11" s="1">
        <v>8</v>
      </c>
      <c r="B11" s="54"/>
      <c r="C11" s="55" t="s">
        <v>125</v>
      </c>
      <c r="D11" s="59" t="s">
        <v>126</v>
      </c>
      <c r="E11" s="57" t="s">
        <v>125</v>
      </c>
      <c r="F11" s="61" t="s">
        <v>126</v>
      </c>
      <c r="G11" s="62" t="s">
        <v>133</v>
      </c>
      <c r="H11" s="31"/>
      <c r="I11" s="99"/>
    </row>
    <row r="12" spans="1:9" x14ac:dyDescent="0.3">
      <c r="A12" s="1">
        <v>9</v>
      </c>
      <c r="B12" s="109">
        <v>42296</v>
      </c>
      <c r="C12" s="55" t="s">
        <v>7</v>
      </c>
      <c r="D12" s="3">
        <v>0.1</v>
      </c>
      <c r="E12" s="55" t="s">
        <v>7</v>
      </c>
      <c r="F12" s="4">
        <v>4</v>
      </c>
      <c r="G12" s="62">
        <f>IF(F12&lt;$D$38,1,0)</f>
        <v>0</v>
      </c>
      <c r="H12" s="31"/>
      <c r="I12" s="99"/>
    </row>
    <row r="13" spans="1:9" x14ac:dyDescent="0.3">
      <c r="A13" s="1">
        <v>10</v>
      </c>
      <c r="B13" s="109"/>
      <c r="C13" s="55" t="s">
        <v>8</v>
      </c>
      <c r="D13" s="3">
        <v>0.7</v>
      </c>
      <c r="E13" s="55" t="s">
        <v>8</v>
      </c>
      <c r="F13" s="4">
        <v>3</v>
      </c>
      <c r="G13" s="62">
        <f t="shared" ref="G13:G31" si="0">IF(F13&lt;$D$38,1,0)</f>
        <v>0</v>
      </c>
      <c r="H13" s="31"/>
      <c r="I13" s="99"/>
    </row>
    <row r="14" spans="1:9" x14ac:dyDescent="0.3">
      <c r="A14" s="1">
        <v>11</v>
      </c>
      <c r="B14" s="109"/>
      <c r="C14" s="55" t="s">
        <v>9</v>
      </c>
      <c r="D14" s="3">
        <v>0.2</v>
      </c>
      <c r="E14" s="55" t="s">
        <v>9</v>
      </c>
      <c r="F14" s="4">
        <v>3</v>
      </c>
      <c r="G14" s="62">
        <f t="shared" si="0"/>
        <v>0</v>
      </c>
      <c r="H14" s="31"/>
      <c r="I14" s="99"/>
    </row>
    <row r="15" spans="1:9" x14ac:dyDescent="0.3">
      <c r="A15" s="1">
        <v>12</v>
      </c>
      <c r="B15" s="109"/>
      <c r="C15" s="55" t="s">
        <v>50</v>
      </c>
      <c r="D15" s="3">
        <v>0.5</v>
      </c>
      <c r="E15" s="55" t="s">
        <v>50</v>
      </c>
      <c r="F15" s="4">
        <v>0.5</v>
      </c>
      <c r="G15" s="62">
        <f t="shared" si="0"/>
        <v>1</v>
      </c>
      <c r="H15" s="31"/>
      <c r="I15" s="99"/>
    </row>
    <row r="16" spans="1:9" x14ac:dyDescent="0.3">
      <c r="A16" s="1">
        <v>13</v>
      </c>
      <c r="B16" s="109"/>
      <c r="C16" s="55" t="s">
        <v>51</v>
      </c>
      <c r="D16" s="3">
        <v>0.1</v>
      </c>
      <c r="E16" s="55" t="s">
        <v>51</v>
      </c>
      <c r="F16" s="4">
        <v>2</v>
      </c>
      <c r="G16" s="62">
        <f t="shared" si="0"/>
        <v>0</v>
      </c>
      <c r="H16" s="31"/>
      <c r="I16" s="99"/>
    </row>
    <row r="17" spans="1:9" x14ac:dyDescent="0.3">
      <c r="A17" s="1">
        <v>14</v>
      </c>
      <c r="B17" s="109">
        <v>42297</v>
      </c>
      <c r="C17" s="55" t="s">
        <v>7</v>
      </c>
      <c r="D17" s="3">
        <v>0.2</v>
      </c>
      <c r="E17" s="55" t="s">
        <v>7</v>
      </c>
      <c r="F17" s="4">
        <v>2.1</v>
      </c>
      <c r="G17" s="62">
        <f t="shared" si="0"/>
        <v>0</v>
      </c>
      <c r="H17" s="31"/>
      <c r="I17" s="99"/>
    </row>
    <row r="18" spans="1:9" x14ac:dyDescent="0.3">
      <c r="A18" s="1">
        <v>15</v>
      </c>
      <c r="B18" s="109"/>
      <c r="C18" s="55" t="s">
        <v>8</v>
      </c>
      <c r="D18" s="3">
        <v>0.2</v>
      </c>
      <c r="E18" s="55" t="s">
        <v>8</v>
      </c>
      <c r="F18" s="4">
        <v>5</v>
      </c>
      <c r="G18" s="62">
        <f t="shared" si="0"/>
        <v>0</v>
      </c>
      <c r="H18" s="31"/>
      <c r="I18" s="99"/>
    </row>
    <row r="19" spans="1:9" ht="17.399999999999999" customHeight="1" x14ac:dyDescent="0.3">
      <c r="A19" s="1">
        <v>16</v>
      </c>
      <c r="B19" s="109"/>
      <c r="C19" s="55" t="s">
        <v>9</v>
      </c>
      <c r="D19" s="3">
        <v>0.2</v>
      </c>
      <c r="E19" s="55" t="s">
        <v>9</v>
      </c>
      <c r="F19" s="4">
        <v>0.2</v>
      </c>
      <c r="G19" s="62">
        <f t="shared" si="0"/>
        <v>1</v>
      </c>
      <c r="H19" s="31"/>
      <c r="I19" s="99"/>
    </row>
    <row r="20" spans="1:9" x14ac:dyDescent="0.3">
      <c r="A20" s="1">
        <v>17</v>
      </c>
      <c r="B20" s="109"/>
      <c r="C20" s="55" t="s">
        <v>50</v>
      </c>
      <c r="D20" s="3">
        <v>0</v>
      </c>
      <c r="E20" s="55" t="s">
        <v>50</v>
      </c>
      <c r="F20" s="4">
        <v>1.5</v>
      </c>
      <c r="G20" s="62">
        <f t="shared" si="0"/>
        <v>0</v>
      </c>
      <c r="H20" s="31"/>
      <c r="I20" s="99"/>
    </row>
    <row r="21" spans="1:9" x14ac:dyDescent="0.3">
      <c r="A21" s="1">
        <v>18</v>
      </c>
      <c r="B21" s="109"/>
      <c r="C21" s="55" t="s">
        <v>51</v>
      </c>
      <c r="D21" s="3">
        <v>0.4</v>
      </c>
      <c r="E21" s="55" t="s">
        <v>51</v>
      </c>
      <c r="F21" s="4">
        <v>1</v>
      </c>
      <c r="G21" s="62">
        <f t="shared" si="0"/>
        <v>0</v>
      </c>
      <c r="H21" s="31"/>
      <c r="I21" s="99"/>
    </row>
    <row r="22" spans="1:9" ht="15.6" customHeight="1" x14ac:dyDescent="0.3">
      <c r="A22" s="1">
        <v>19</v>
      </c>
      <c r="B22" s="109">
        <v>42298</v>
      </c>
      <c r="C22" s="55" t="s">
        <v>7</v>
      </c>
      <c r="D22" s="3">
        <v>0.3</v>
      </c>
      <c r="E22" s="55" t="s">
        <v>7</v>
      </c>
      <c r="F22" s="4">
        <v>2</v>
      </c>
      <c r="G22" s="62">
        <f t="shared" si="0"/>
        <v>0</v>
      </c>
      <c r="H22" s="31"/>
      <c r="I22" s="99"/>
    </row>
    <row r="23" spans="1:9" x14ac:dyDescent="0.3">
      <c r="A23" s="1">
        <v>20</v>
      </c>
      <c r="B23" s="109"/>
      <c r="C23" s="55" t="s">
        <v>8</v>
      </c>
      <c r="D23" s="3">
        <v>0.2</v>
      </c>
      <c r="E23" s="55" t="s">
        <v>8</v>
      </c>
      <c r="F23" s="4">
        <v>3</v>
      </c>
      <c r="G23" s="62">
        <f t="shared" si="0"/>
        <v>0</v>
      </c>
      <c r="H23" s="31"/>
      <c r="I23" s="99"/>
    </row>
    <row r="24" spans="1:9" x14ac:dyDescent="0.3">
      <c r="A24" s="1">
        <v>21</v>
      </c>
      <c r="B24" s="109"/>
      <c r="C24" s="55" t="s">
        <v>9</v>
      </c>
      <c r="D24" s="3">
        <v>0.2</v>
      </c>
      <c r="E24" s="55" t="s">
        <v>9</v>
      </c>
      <c r="F24" s="4">
        <v>3</v>
      </c>
      <c r="G24" s="62">
        <f t="shared" si="0"/>
        <v>0</v>
      </c>
      <c r="H24" s="31"/>
      <c r="I24" s="99"/>
    </row>
    <row r="25" spans="1:9" x14ac:dyDescent="0.3">
      <c r="A25" s="1">
        <v>22</v>
      </c>
      <c r="B25" s="109"/>
      <c r="C25" s="55" t="s">
        <v>50</v>
      </c>
      <c r="D25" s="3">
        <v>0.2</v>
      </c>
      <c r="E25" s="55" t="s">
        <v>50</v>
      </c>
      <c r="F25" s="4">
        <v>1</v>
      </c>
      <c r="G25" s="62">
        <f t="shared" si="0"/>
        <v>0</v>
      </c>
      <c r="H25" s="31"/>
      <c r="I25" s="99"/>
    </row>
    <row r="26" spans="1:9" x14ac:dyDescent="0.3">
      <c r="A26" s="1">
        <v>23</v>
      </c>
      <c r="B26" s="109"/>
      <c r="C26" s="55" t="s">
        <v>51</v>
      </c>
      <c r="D26" s="3">
        <v>0.2</v>
      </c>
      <c r="E26" s="55" t="s">
        <v>51</v>
      </c>
      <c r="F26" s="4">
        <v>1</v>
      </c>
      <c r="G26" s="62">
        <f t="shared" si="0"/>
        <v>0</v>
      </c>
      <c r="H26" s="31"/>
      <c r="I26" s="99"/>
    </row>
    <row r="27" spans="1:9" x14ac:dyDescent="0.3">
      <c r="A27" s="1">
        <v>24</v>
      </c>
      <c r="B27" s="109">
        <v>42299</v>
      </c>
      <c r="C27" s="55" t="s">
        <v>7</v>
      </c>
      <c r="D27" s="3">
        <v>0.2</v>
      </c>
      <c r="E27" s="55" t="s">
        <v>7</v>
      </c>
      <c r="F27" s="4">
        <v>3</v>
      </c>
      <c r="G27" s="62">
        <f t="shared" si="0"/>
        <v>0</v>
      </c>
      <c r="H27" s="31"/>
      <c r="I27" s="99"/>
    </row>
    <row r="28" spans="1:9" ht="15" customHeight="1" x14ac:dyDescent="0.3">
      <c r="A28" s="1">
        <v>25</v>
      </c>
      <c r="B28" s="109"/>
      <c r="C28" s="55" t="s">
        <v>8</v>
      </c>
      <c r="D28" s="3">
        <v>0.2</v>
      </c>
      <c r="E28" s="55" t="s">
        <v>8</v>
      </c>
      <c r="F28" s="4">
        <v>4</v>
      </c>
      <c r="G28" s="62">
        <f t="shared" si="0"/>
        <v>0</v>
      </c>
      <c r="H28" s="31"/>
      <c r="I28" s="99"/>
    </row>
    <row r="29" spans="1:9" x14ac:dyDescent="0.3">
      <c r="A29" s="1">
        <v>26</v>
      </c>
      <c r="B29" s="109"/>
      <c r="C29" s="55" t="s">
        <v>9</v>
      </c>
      <c r="D29" s="3">
        <v>0.5</v>
      </c>
      <c r="E29" s="55" t="s">
        <v>9</v>
      </c>
      <c r="F29" s="4">
        <v>0.2</v>
      </c>
      <c r="G29" s="62">
        <f t="shared" si="0"/>
        <v>1</v>
      </c>
      <c r="H29" s="31"/>
      <c r="I29" s="99"/>
    </row>
    <row r="30" spans="1:9" x14ac:dyDescent="0.3">
      <c r="A30" s="1">
        <v>27</v>
      </c>
      <c r="B30" s="109"/>
      <c r="C30" s="55" t="s">
        <v>50</v>
      </c>
      <c r="D30" s="3">
        <v>0.2</v>
      </c>
      <c r="E30" s="55" t="s">
        <v>50</v>
      </c>
      <c r="F30" s="4">
        <v>3</v>
      </c>
      <c r="G30" s="62">
        <f t="shared" si="0"/>
        <v>0</v>
      </c>
      <c r="H30" s="31"/>
      <c r="I30" s="99"/>
    </row>
    <row r="31" spans="1:9" x14ac:dyDescent="0.3">
      <c r="A31" s="1">
        <v>28</v>
      </c>
      <c r="B31" s="109"/>
      <c r="C31" s="55" t="s">
        <v>51</v>
      </c>
      <c r="D31" s="3">
        <v>0.2</v>
      </c>
      <c r="E31" s="55" t="s">
        <v>51</v>
      </c>
      <c r="F31" s="4">
        <v>2.6</v>
      </c>
      <c r="G31" s="31">
        <f t="shared" si="0"/>
        <v>0</v>
      </c>
      <c r="H31" s="31"/>
      <c r="I31" s="99"/>
    </row>
    <row r="32" spans="1:9" x14ac:dyDescent="0.3">
      <c r="A32" s="1">
        <v>29</v>
      </c>
      <c r="B32" s="107" t="s">
        <v>114</v>
      </c>
      <c r="C32" s="107"/>
      <c r="D32" s="107"/>
      <c r="E32" s="107"/>
      <c r="F32" s="107"/>
      <c r="G32" s="107"/>
    </row>
    <row r="33" spans="1:7" ht="33" customHeight="1" x14ac:dyDescent="0.3">
      <c r="A33" s="1">
        <v>30</v>
      </c>
      <c r="B33" s="2" t="s">
        <v>52</v>
      </c>
      <c r="C33" s="108">
        <v>20</v>
      </c>
      <c r="D33" s="108"/>
      <c r="E33" s="104" t="s">
        <v>52</v>
      </c>
      <c r="F33" s="105"/>
      <c r="G33" s="5">
        <v>20</v>
      </c>
    </row>
    <row r="34" spans="1:7" ht="47.4" customHeight="1" x14ac:dyDescent="0.3">
      <c r="A34" s="1">
        <v>31</v>
      </c>
      <c r="B34" s="2" t="s">
        <v>108</v>
      </c>
      <c r="C34" s="3" t="s">
        <v>127</v>
      </c>
      <c r="D34" s="58">
        <f>AVERAGE(D12:D31)</f>
        <v>0.25000000000000006</v>
      </c>
      <c r="E34" s="2" t="s">
        <v>124</v>
      </c>
      <c r="F34" s="2" t="s">
        <v>130</v>
      </c>
      <c r="G34" s="58">
        <f>AVERAGE(F12:F31)</f>
        <v>2.2549999999999999</v>
      </c>
    </row>
    <row r="35" spans="1:7" ht="45.6" customHeight="1" x14ac:dyDescent="0.3">
      <c r="A35" s="1">
        <v>32</v>
      </c>
      <c r="B35" s="2" t="s">
        <v>107</v>
      </c>
      <c r="C35" s="3" t="s">
        <v>128</v>
      </c>
      <c r="D35" s="58">
        <f>_xlfn.STDEV.S(D12:D31)</f>
        <v>0.16059101370939324</v>
      </c>
      <c r="E35" s="2" t="s">
        <v>107</v>
      </c>
      <c r="F35" s="2" t="s">
        <v>131</v>
      </c>
      <c r="G35" s="58">
        <f>_xlfn.STDEV.S(F12:F31)</f>
        <v>1.3386855296776838</v>
      </c>
    </row>
    <row r="36" spans="1:7" x14ac:dyDescent="0.3">
      <c r="A36" s="1">
        <v>33</v>
      </c>
      <c r="B36" s="106" t="s">
        <v>111</v>
      </c>
      <c r="C36" s="3" t="s">
        <v>129</v>
      </c>
      <c r="D36" s="102">
        <f>D34+1.645*D35</f>
        <v>0.51417221755195197</v>
      </c>
      <c r="E36" s="100" t="s">
        <v>120</v>
      </c>
      <c r="F36" s="3" t="s">
        <v>132</v>
      </c>
      <c r="G36" s="102">
        <f>D38+1.645*G35</f>
        <v>3.2021376963197898</v>
      </c>
    </row>
    <row r="37" spans="1:7" x14ac:dyDescent="0.3">
      <c r="A37" s="1">
        <v>34</v>
      </c>
      <c r="B37" s="106"/>
      <c r="C37" s="2" t="s">
        <v>110</v>
      </c>
      <c r="D37" s="103"/>
      <c r="E37" s="101"/>
      <c r="F37" s="2" t="s">
        <v>121</v>
      </c>
      <c r="G37" s="103"/>
    </row>
    <row r="38" spans="1:7" ht="28.8" customHeight="1" x14ac:dyDescent="0.3">
      <c r="A38" s="1">
        <v>35</v>
      </c>
      <c r="B38" s="2" t="s">
        <v>109</v>
      </c>
      <c r="C38" s="2" t="s">
        <v>116</v>
      </c>
      <c r="D38" s="58">
        <v>1</v>
      </c>
      <c r="E38" s="56" t="s">
        <v>109</v>
      </c>
      <c r="F38" s="56" t="s">
        <v>119</v>
      </c>
      <c r="G38" s="58">
        <v>3</v>
      </c>
    </row>
    <row r="39" spans="1:7" ht="16.8" customHeight="1" x14ac:dyDescent="0.3">
      <c r="A39" s="1">
        <v>36</v>
      </c>
      <c r="B39" s="6" t="s">
        <v>115</v>
      </c>
      <c r="C39" s="6" t="s">
        <v>117</v>
      </c>
      <c r="D39" s="6" t="str">
        <f>IF(D36&lt;=D38,"Соответсвует","Не соответсвует")</f>
        <v>Соответсвует</v>
      </c>
      <c r="E39" s="63" t="s">
        <v>134</v>
      </c>
      <c r="F39" s="2" t="s">
        <v>135</v>
      </c>
      <c r="G39" s="52">
        <f>SUM(G12:G31)</f>
        <v>3</v>
      </c>
    </row>
    <row r="40" spans="1:7" ht="15.6" customHeight="1" x14ac:dyDescent="0.3">
      <c r="F40" s="6" t="s">
        <v>136</v>
      </c>
      <c r="G40" s="65" t="str">
        <f>IF(G39&lt;=3,"Соответсвует", "не соответсвует")</f>
        <v>Соответсвует</v>
      </c>
    </row>
    <row r="42" spans="1:7" ht="15.6" customHeight="1" x14ac:dyDescent="0.3"/>
    <row r="45" spans="1:7" ht="16.8" customHeight="1" x14ac:dyDescent="0.3"/>
    <row r="46" spans="1:7" ht="28.8" customHeight="1" x14ac:dyDescent="0.3"/>
    <row r="48" spans="1:7" ht="17.399999999999999" customHeight="1" x14ac:dyDescent="0.3"/>
    <row r="51" ht="19.2" customHeight="1" x14ac:dyDescent="0.3"/>
  </sheetData>
  <mergeCells count="20">
    <mergeCell ref="E1:G1"/>
    <mergeCell ref="C1:D1"/>
    <mergeCell ref="C6:D6"/>
    <mergeCell ref="C7:D7"/>
    <mergeCell ref="B4:G4"/>
    <mergeCell ref="B5:D5"/>
    <mergeCell ref="E5:G5"/>
    <mergeCell ref="E36:E37"/>
    <mergeCell ref="G36:G37"/>
    <mergeCell ref="E33:F33"/>
    <mergeCell ref="B36:B37"/>
    <mergeCell ref="C8:D8"/>
    <mergeCell ref="D36:D37"/>
    <mergeCell ref="B32:G32"/>
    <mergeCell ref="C33:D33"/>
    <mergeCell ref="B27:B31"/>
    <mergeCell ref="B22:B26"/>
    <mergeCell ref="C9:D9"/>
    <mergeCell ref="B12:B16"/>
    <mergeCell ref="B17:B2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3EEE-3C94-4AD8-9127-F71228311445}">
  <dimension ref="A1:K44"/>
  <sheetViews>
    <sheetView topLeftCell="A19" zoomScaleNormal="100" zoomScaleSheetLayoutView="100" workbookViewId="0">
      <selection activeCell="B22" sqref="B22:H42"/>
    </sheetView>
  </sheetViews>
  <sheetFormatPr defaultRowHeight="14.4" x14ac:dyDescent="0.3"/>
  <cols>
    <col min="1" max="1" width="3.77734375" customWidth="1"/>
    <col min="2" max="2" width="27.44140625" customWidth="1"/>
    <col min="3" max="4" width="12.109375" customWidth="1"/>
    <col min="5" max="5" width="13" customWidth="1"/>
    <col min="6" max="6" width="12" customWidth="1"/>
    <col min="7" max="7" width="12.33203125" customWidth="1"/>
    <col min="8" max="8" width="12.6640625" customWidth="1"/>
    <col min="9" max="9" width="14.88671875" customWidth="1"/>
    <col min="10" max="10" width="14.44140625" customWidth="1"/>
    <col min="11" max="11" width="13.109375" customWidth="1"/>
    <col min="12" max="13" width="8.88671875" customWidth="1"/>
    <col min="15" max="18" width="8.88671875" customWidth="1"/>
    <col min="257" max="257" width="3.77734375" customWidth="1"/>
    <col min="258" max="258" width="27.44140625" customWidth="1"/>
    <col min="259" max="260" width="12.109375" customWidth="1"/>
    <col min="261" max="261" width="13" customWidth="1"/>
    <col min="262" max="262" width="12" customWidth="1"/>
    <col min="263" max="263" width="12.33203125" customWidth="1"/>
    <col min="264" max="264" width="12.6640625" customWidth="1"/>
    <col min="265" max="265" width="14.88671875" customWidth="1"/>
    <col min="266" max="266" width="14.44140625" customWidth="1"/>
    <col min="267" max="267" width="13.109375" customWidth="1"/>
    <col min="513" max="513" width="3.77734375" customWidth="1"/>
    <col min="514" max="514" width="27.44140625" customWidth="1"/>
    <col min="515" max="516" width="12.109375" customWidth="1"/>
    <col min="517" max="517" width="13" customWidth="1"/>
    <col min="518" max="518" width="12" customWidth="1"/>
    <col min="519" max="519" width="12.33203125" customWidth="1"/>
    <col min="520" max="520" width="12.6640625" customWidth="1"/>
    <col min="521" max="521" width="14.88671875" customWidth="1"/>
    <col min="522" max="522" width="14.44140625" customWidth="1"/>
    <col min="523" max="523" width="13.109375" customWidth="1"/>
    <col min="769" max="769" width="3.77734375" customWidth="1"/>
    <col min="770" max="770" width="27.44140625" customWidth="1"/>
    <col min="771" max="772" width="12.109375" customWidth="1"/>
    <col min="773" max="773" width="13" customWidth="1"/>
    <col min="774" max="774" width="12" customWidth="1"/>
    <col min="775" max="775" width="12.33203125" customWidth="1"/>
    <col min="776" max="776" width="12.6640625" customWidth="1"/>
    <col min="777" max="777" width="14.88671875" customWidth="1"/>
    <col min="778" max="778" width="14.44140625" customWidth="1"/>
    <col min="779" max="779" width="13.109375" customWidth="1"/>
    <col min="1025" max="1025" width="3.77734375" customWidth="1"/>
    <col min="1026" max="1026" width="27.44140625" customWidth="1"/>
    <col min="1027" max="1028" width="12.109375" customWidth="1"/>
    <col min="1029" max="1029" width="13" customWidth="1"/>
    <col min="1030" max="1030" width="12" customWidth="1"/>
    <col min="1031" max="1031" width="12.33203125" customWidth="1"/>
    <col min="1032" max="1032" width="12.6640625" customWidth="1"/>
    <col min="1033" max="1033" width="14.88671875" customWidth="1"/>
    <col min="1034" max="1034" width="14.44140625" customWidth="1"/>
    <col min="1035" max="1035" width="13.109375" customWidth="1"/>
    <col min="1281" max="1281" width="3.77734375" customWidth="1"/>
    <col min="1282" max="1282" width="27.44140625" customWidth="1"/>
    <col min="1283" max="1284" width="12.109375" customWidth="1"/>
    <col min="1285" max="1285" width="13" customWidth="1"/>
    <col min="1286" max="1286" width="12" customWidth="1"/>
    <col min="1287" max="1287" width="12.33203125" customWidth="1"/>
    <col min="1288" max="1288" width="12.6640625" customWidth="1"/>
    <col min="1289" max="1289" width="14.88671875" customWidth="1"/>
    <col min="1290" max="1290" width="14.44140625" customWidth="1"/>
    <col min="1291" max="1291" width="13.109375" customWidth="1"/>
    <col min="1537" max="1537" width="3.77734375" customWidth="1"/>
    <col min="1538" max="1538" width="27.44140625" customWidth="1"/>
    <col min="1539" max="1540" width="12.109375" customWidth="1"/>
    <col min="1541" max="1541" width="13" customWidth="1"/>
    <col min="1542" max="1542" width="12" customWidth="1"/>
    <col min="1543" max="1543" width="12.33203125" customWidth="1"/>
    <col min="1544" max="1544" width="12.6640625" customWidth="1"/>
    <col min="1545" max="1545" width="14.88671875" customWidth="1"/>
    <col min="1546" max="1546" width="14.44140625" customWidth="1"/>
    <col min="1547" max="1547" width="13.109375" customWidth="1"/>
    <col min="1793" max="1793" width="3.77734375" customWidth="1"/>
    <col min="1794" max="1794" width="27.44140625" customWidth="1"/>
    <col min="1795" max="1796" width="12.109375" customWidth="1"/>
    <col min="1797" max="1797" width="13" customWidth="1"/>
    <col min="1798" max="1798" width="12" customWidth="1"/>
    <col min="1799" max="1799" width="12.33203125" customWidth="1"/>
    <col min="1800" max="1800" width="12.6640625" customWidth="1"/>
    <col min="1801" max="1801" width="14.88671875" customWidth="1"/>
    <col min="1802" max="1802" width="14.44140625" customWidth="1"/>
    <col min="1803" max="1803" width="13.109375" customWidth="1"/>
    <col min="2049" max="2049" width="3.77734375" customWidth="1"/>
    <col min="2050" max="2050" width="27.44140625" customWidth="1"/>
    <col min="2051" max="2052" width="12.109375" customWidth="1"/>
    <col min="2053" max="2053" width="13" customWidth="1"/>
    <col min="2054" max="2054" width="12" customWidth="1"/>
    <col min="2055" max="2055" width="12.33203125" customWidth="1"/>
    <col min="2056" max="2056" width="12.6640625" customWidth="1"/>
    <col min="2057" max="2057" width="14.88671875" customWidth="1"/>
    <col min="2058" max="2058" width="14.44140625" customWidth="1"/>
    <col min="2059" max="2059" width="13.109375" customWidth="1"/>
    <col min="2305" max="2305" width="3.77734375" customWidth="1"/>
    <col min="2306" max="2306" width="27.44140625" customWidth="1"/>
    <col min="2307" max="2308" width="12.109375" customWidth="1"/>
    <col min="2309" max="2309" width="13" customWidth="1"/>
    <col min="2310" max="2310" width="12" customWidth="1"/>
    <col min="2311" max="2311" width="12.33203125" customWidth="1"/>
    <col min="2312" max="2312" width="12.6640625" customWidth="1"/>
    <col min="2313" max="2313" width="14.88671875" customWidth="1"/>
    <col min="2314" max="2314" width="14.44140625" customWidth="1"/>
    <col min="2315" max="2315" width="13.109375" customWidth="1"/>
    <col min="2561" max="2561" width="3.77734375" customWidth="1"/>
    <col min="2562" max="2562" width="27.44140625" customWidth="1"/>
    <col min="2563" max="2564" width="12.109375" customWidth="1"/>
    <col min="2565" max="2565" width="13" customWidth="1"/>
    <col min="2566" max="2566" width="12" customWidth="1"/>
    <col min="2567" max="2567" width="12.33203125" customWidth="1"/>
    <col min="2568" max="2568" width="12.6640625" customWidth="1"/>
    <col min="2569" max="2569" width="14.88671875" customWidth="1"/>
    <col min="2570" max="2570" width="14.44140625" customWidth="1"/>
    <col min="2571" max="2571" width="13.109375" customWidth="1"/>
    <col min="2817" max="2817" width="3.77734375" customWidth="1"/>
    <col min="2818" max="2818" width="27.44140625" customWidth="1"/>
    <col min="2819" max="2820" width="12.109375" customWidth="1"/>
    <col min="2821" max="2821" width="13" customWidth="1"/>
    <col min="2822" max="2822" width="12" customWidth="1"/>
    <col min="2823" max="2823" width="12.33203125" customWidth="1"/>
    <col min="2824" max="2824" width="12.6640625" customWidth="1"/>
    <col min="2825" max="2825" width="14.88671875" customWidth="1"/>
    <col min="2826" max="2826" width="14.44140625" customWidth="1"/>
    <col min="2827" max="2827" width="13.109375" customWidth="1"/>
    <col min="3073" max="3073" width="3.77734375" customWidth="1"/>
    <col min="3074" max="3074" width="27.44140625" customWidth="1"/>
    <col min="3075" max="3076" width="12.109375" customWidth="1"/>
    <col min="3077" max="3077" width="13" customWidth="1"/>
    <col min="3078" max="3078" width="12" customWidth="1"/>
    <col min="3079" max="3079" width="12.33203125" customWidth="1"/>
    <col min="3080" max="3080" width="12.6640625" customWidth="1"/>
    <col min="3081" max="3081" width="14.88671875" customWidth="1"/>
    <col min="3082" max="3082" width="14.44140625" customWidth="1"/>
    <col min="3083" max="3083" width="13.109375" customWidth="1"/>
    <col min="3329" max="3329" width="3.77734375" customWidth="1"/>
    <col min="3330" max="3330" width="27.44140625" customWidth="1"/>
    <col min="3331" max="3332" width="12.109375" customWidth="1"/>
    <col min="3333" max="3333" width="13" customWidth="1"/>
    <col min="3334" max="3334" width="12" customWidth="1"/>
    <col min="3335" max="3335" width="12.33203125" customWidth="1"/>
    <col min="3336" max="3336" width="12.6640625" customWidth="1"/>
    <col min="3337" max="3337" width="14.88671875" customWidth="1"/>
    <col min="3338" max="3338" width="14.44140625" customWidth="1"/>
    <col min="3339" max="3339" width="13.109375" customWidth="1"/>
    <col min="3585" max="3585" width="3.77734375" customWidth="1"/>
    <col min="3586" max="3586" width="27.44140625" customWidth="1"/>
    <col min="3587" max="3588" width="12.109375" customWidth="1"/>
    <col min="3589" max="3589" width="13" customWidth="1"/>
    <col min="3590" max="3590" width="12" customWidth="1"/>
    <col min="3591" max="3591" width="12.33203125" customWidth="1"/>
    <col min="3592" max="3592" width="12.6640625" customWidth="1"/>
    <col min="3593" max="3593" width="14.88671875" customWidth="1"/>
    <col min="3594" max="3594" width="14.44140625" customWidth="1"/>
    <col min="3595" max="3595" width="13.109375" customWidth="1"/>
    <col min="3841" max="3841" width="3.77734375" customWidth="1"/>
    <col min="3842" max="3842" width="27.44140625" customWidth="1"/>
    <col min="3843" max="3844" width="12.109375" customWidth="1"/>
    <col min="3845" max="3845" width="13" customWidth="1"/>
    <col min="3846" max="3846" width="12" customWidth="1"/>
    <col min="3847" max="3847" width="12.33203125" customWidth="1"/>
    <col min="3848" max="3848" width="12.6640625" customWidth="1"/>
    <col min="3849" max="3849" width="14.88671875" customWidth="1"/>
    <col min="3850" max="3850" width="14.44140625" customWidth="1"/>
    <col min="3851" max="3851" width="13.109375" customWidth="1"/>
    <col min="4097" max="4097" width="3.77734375" customWidth="1"/>
    <col min="4098" max="4098" width="27.44140625" customWidth="1"/>
    <col min="4099" max="4100" width="12.109375" customWidth="1"/>
    <col min="4101" max="4101" width="13" customWidth="1"/>
    <col min="4102" max="4102" width="12" customWidth="1"/>
    <col min="4103" max="4103" width="12.33203125" customWidth="1"/>
    <col min="4104" max="4104" width="12.6640625" customWidth="1"/>
    <col min="4105" max="4105" width="14.88671875" customWidth="1"/>
    <col min="4106" max="4106" width="14.44140625" customWidth="1"/>
    <col min="4107" max="4107" width="13.109375" customWidth="1"/>
    <col min="4353" max="4353" width="3.77734375" customWidth="1"/>
    <col min="4354" max="4354" width="27.44140625" customWidth="1"/>
    <col min="4355" max="4356" width="12.109375" customWidth="1"/>
    <col min="4357" max="4357" width="13" customWidth="1"/>
    <col min="4358" max="4358" width="12" customWidth="1"/>
    <col min="4359" max="4359" width="12.33203125" customWidth="1"/>
    <col min="4360" max="4360" width="12.6640625" customWidth="1"/>
    <col min="4361" max="4361" width="14.88671875" customWidth="1"/>
    <col min="4362" max="4362" width="14.44140625" customWidth="1"/>
    <col min="4363" max="4363" width="13.109375" customWidth="1"/>
    <col min="4609" max="4609" width="3.77734375" customWidth="1"/>
    <col min="4610" max="4610" width="27.44140625" customWidth="1"/>
    <col min="4611" max="4612" width="12.109375" customWidth="1"/>
    <col min="4613" max="4613" width="13" customWidth="1"/>
    <col min="4614" max="4614" width="12" customWidth="1"/>
    <col min="4615" max="4615" width="12.33203125" customWidth="1"/>
    <col min="4616" max="4616" width="12.6640625" customWidth="1"/>
    <col min="4617" max="4617" width="14.88671875" customWidth="1"/>
    <col min="4618" max="4618" width="14.44140625" customWidth="1"/>
    <col min="4619" max="4619" width="13.109375" customWidth="1"/>
    <col min="4865" max="4865" width="3.77734375" customWidth="1"/>
    <col min="4866" max="4866" width="27.44140625" customWidth="1"/>
    <col min="4867" max="4868" width="12.109375" customWidth="1"/>
    <col min="4869" max="4869" width="13" customWidth="1"/>
    <col min="4870" max="4870" width="12" customWidth="1"/>
    <col min="4871" max="4871" width="12.33203125" customWidth="1"/>
    <col min="4872" max="4872" width="12.6640625" customWidth="1"/>
    <col min="4873" max="4873" width="14.88671875" customWidth="1"/>
    <col min="4874" max="4874" width="14.44140625" customWidth="1"/>
    <col min="4875" max="4875" width="13.109375" customWidth="1"/>
    <col min="5121" max="5121" width="3.77734375" customWidth="1"/>
    <col min="5122" max="5122" width="27.44140625" customWidth="1"/>
    <col min="5123" max="5124" width="12.109375" customWidth="1"/>
    <col min="5125" max="5125" width="13" customWidth="1"/>
    <col min="5126" max="5126" width="12" customWidth="1"/>
    <col min="5127" max="5127" width="12.33203125" customWidth="1"/>
    <col min="5128" max="5128" width="12.6640625" customWidth="1"/>
    <col min="5129" max="5129" width="14.88671875" customWidth="1"/>
    <col min="5130" max="5130" width="14.44140625" customWidth="1"/>
    <col min="5131" max="5131" width="13.109375" customWidth="1"/>
    <col min="5377" max="5377" width="3.77734375" customWidth="1"/>
    <col min="5378" max="5378" width="27.44140625" customWidth="1"/>
    <col min="5379" max="5380" width="12.109375" customWidth="1"/>
    <col min="5381" max="5381" width="13" customWidth="1"/>
    <col min="5382" max="5382" width="12" customWidth="1"/>
    <col min="5383" max="5383" width="12.33203125" customWidth="1"/>
    <col min="5384" max="5384" width="12.6640625" customWidth="1"/>
    <col min="5385" max="5385" width="14.88671875" customWidth="1"/>
    <col min="5386" max="5386" width="14.44140625" customWidth="1"/>
    <col min="5387" max="5387" width="13.109375" customWidth="1"/>
    <col min="5633" max="5633" width="3.77734375" customWidth="1"/>
    <col min="5634" max="5634" width="27.44140625" customWidth="1"/>
    <col min="5635" max="5636" width="12.109375" customWidth="1"/>
    <col min="5637" max="5637" width="13" customWidth="1"/>
    <col min="5638" max="5638" width="12" customWidth="1"/>
    <col min="5639" max="5639" width="12.33203125" customWidth="1"/>
    <col min="5640" max="5640" width="12.6640625" customWidth="1"/>
    <col min="5641" max="5641" width="14.88671875" customWidth="1"/>
    <col min="5642" max="5642" width="14.44140625" customWidth="1"/>
    <col min="5643" max="5643" width="13.109375" customWidth="1"/>
    <col min="5889" max="5889" width="3.77734375" customWidth="1"/>
    <col min="5890" max="5890" width="27.44140625" customWidth="1"/>
    <col min="5891" max="5892" width="12.109375" customWidth="1"/>
    <col min="5893" max="5893" width="13" customWidth="1"/>
    <col min="5894" max="5894" width="12" customWidth="1"/>
    <col min="5895" max="5895" width="12.33203125" customWidth="1"/>
    <col min="5896" max="5896" width="12.6640625" customWidth="1"/>
    <col min="5897" max="5897" width="14.88671875" customWidth="1"/>
    <col min="5898" max="5898" width="14.44140625" customWidth="1"/>
    <col min="5899" max="5899" width="13.109375" customWidth="1"/>
    <col min="6145" max="6145" width="3.77734375" customWidth="1"/>
    <col min="6146" max="6146" width="27.44140625" customWidth="1"/>
    <col min="6147" max="6148" width="12.109375" customWidth="1"/>
    <col min="6149" max="6149" width="13" customWidth="1"/>
    <col min="6150" max="6150" width="12" customWidth="1"/>
    <col min="6151" max="6151" width="12.33203125" customWidth="1"/>
    <col min="6152" max="6152" width="12.6640625" customWidth="1"/>
    <col min="6153" max="6153" width="14.88671875" customWidth="1"/>
    <col min="6154" max="6154" width="14.44140625" customWidth="1"/>
    <col min="6155" max="6155" width="13.109375" customWidth="1"/>
    <col min="6401" max="6401" width="3.77734375" customWidth="1"/>
    <col min="6402" max="6402" width="27.44140625" customWidth="1"/>
    <col min="6403" max="6404" width="12.109375" customWidth="1"/>
    <col min="6405" max="6405" width="13" customWidth="1"/>
    <col min="6406" max="6406" width="12" customWidth="1"/>
    <col min="6407" max="6407" width="12.33203125" customWidth="1"/>
    <col min="6408" max="6408" width="12.6640625" customWidth="1"/>
    <col min="6409" max="6409" width="14.88671875" customWidth="1"/>
    <col min="6410" max="6410" width="14.44140625" customWidth="1"/>
    <col min="6411" max="6411" width="13.109375" customWidth="1"/>
    <col min="6657" max="6657" width="3.77734375" customWidth="1"/>
    <col min="6658" max="6658" width="27.44140625" customWidth="1"/>
    <col min="6659" max="6660" width="12.109375" customWidth="1"/>
    <col min="6661" max="6661" width="13" customWidth="1"/>
    <col min="6662" max="6662" width="12" customWidth="1"/>
    <col min="6663" max="6663" width="12.33203125" customWidth="1"/>
    <col min="6664" max="6664" width="12.6640625" customWidth="1"/>
    <col min="6665" max="6665" width="14.88671875" customWidth="1"/>
    <col min="6666" max="6666" width="14.44140625" customWidth="1"/>
    <col min="6667" max="6667" width="13.109375" customWidth="1"/>
    <col min="6913" max="6913" width="3.77734375" customWidth="1"/>
    <col min="6914" max="6914" width="27.44140625" customWidth="1"/>
    <col min="6915" max="6916" width="12.109375" customWidth="1"/>
    <col min="6917" max="6917" width="13" customWidth="1"/>
    <col min="6918" max="6918" width="12" customWidth="1"/>
    <col min="6919" max="6919" width="12.33203125" customWidth="1"/>
    <col min="6920" max="6920" width="12.6640625" customWidth="1"/>
    <col min="6921" max="6921" width="14.88671875" customWidth="1"/>
    <col min="6922" max="6922" width="14.44140625" customWidth="1"/>
    <col min="6923" max="6923" width="13.109375" customWidth="1"/>
    <col min="7169" max="7169" width="3.77734375" customWidth="1"/>
    <col min="7170" max="7170" width="27.44140625" customWidth="1"/>
    <col min="7171" max="7172" width="12.109375" customWidth="1"/>
    <col min="7173" max="7173" width="13" customWidth="1"/>
    <col min="7174" max="7174" width="12" customWidth="1"/>
    <col min="7175" max="7175" width="12.33203125" customWidth="1"/>
    <col min="7176" max="7176" width="12.6640625" customWidth="1"/>
    <col min="7177" max="7177" width="14.88671875" customWidth="1"/>
    <col min="7178" max="7178" width="14.44140625" customWidth="1"/>
    <col min="7179" max="7179" width="13.109375" customWidth="1"/>
    <col min="7425" max="7425" width="3.77734375" customWidth="1"/>
    <col min="7426" max="7426" width="27.44140625" customWidth="1"/>
    <col min="7427" max="7428" width="12.109375" customWidth="1"/>
    <col min="7429" max="7429" width="13" customWidth="1"/>
    <col min="7430" max="7430" width="12" customWidth="1"/>
    <col min="7431" max="7431" width="12.33203125" customWidth="1"/>
    <col min="7432" max="7432" width="12.6640625" customWidth="1"/>
    <col min="7433" max="7433" width="14.88671875" customWidth="1"/>
    <col min="7434" max="7434" width="14.44140625" customWidth="1"/>
    <col min="7435" max="7435" width="13.109375" customWidth="1"/>
    <col min="7681" max="7681" width="3.77734375" customWidth="1"/>
    <col min="7682" max="7682" width="27.44140625" customWidth="1"/>
    <col min="7683" max="7684" width="12.109375" customWidth="1"/>
    <col min="7685" max="7685" width="13" customWidth="1"/>
    <col min="7686" max="7686" width="12" customWidth="1"/>
    <col min="7687" max="7687" width="12.33203125" customWidth="1"/>
    <col min="7688" max="7688" width="12.6640625" customWidth="1"/>
    <col min="7689" max="7689" width="14.88671875" customWidth="1"/>
    <col min="7690" max="7690" width="14.44140625" customWidth="1"/>
    <col min="7691" max="7691" width="13.109375" customWidth="1"/>
    <col min="7937" max="7937" width="3.77734375" customWidth="1"/>
    <col min="7938" max="7938" width="27.44140625" customWidth="1"/>
    <col min="7939" max="7940" width="12.109375" customWidth="1"/>
    <col min="7941" max="7941" width="13" customWidth="1"/>
    <col min="7942" max="7942" width="12" customWidth="1"/>
    <col min="7943" max="7943" width="12.33203125" customWidth="1"/>
    <col min="7944" max="7944" width="12.6640625" customWidth="1"/>
    <col min="7945" max="7945" width="14.88671875" customWidth="1"/>
    <col min="7946" max="7946" width="14.44140625" customWidth="1"/>
    <col min="7947" max="7947" width="13.109375" customWidth="1"/>
    <col min="8193" max="8193" width="3.77734375" customWidth="1"/>
    <col min="8194" max="8194" width="27.44140625" customWidth="1"/>
    <col min="8195" max="8196" width="12.109375" customWidth="1"/>
    <col min="8197" max="8197" width="13" customWidth="1"/>
    <col min="8198" max="8198" width="12" customWidth="1"/>
    <col min="8199" max="8199" width="12.33203125" customWidth="1"/>
    <col min="8200" max="8200" width="12.6640625" customWidth="1"/>
    <col min="8201" max="8201" width="14.88671875" customWidth="1"/>
    <col min="8202" max="8202" width="14.44140625" customWidth="1"/>
    <col min="8203" max="8203" width="13.109375" customWidth="1"/>
    <col min="8449" max="8449" width="3.77734375" customWidth="1"/>
    <col min="8450" max="8450" width="27.44140625" customWidth="1"/>
    <col min="8451" max="8452" width="12.109375" customWidth="1"/>
    <col min="8453" max="8453" width="13" customWidth="1"/>
    <col min="8454" max="8454" width="12" customWidth="1"/>
    <col min="8455" max="8455" width="12.33203125" customWidth="1"/>
    <col min="8456" max="8456" width="12.6640625" customWidth="1"/>
    <col min="8457" max="8457" width="14.88671875" customWidth="1"/>
    <col min="8458" max="8458" width="14.44140625" customWidth="1"/>
    <col min="8459" max="8459" width="13.109375" customWidth="1"/>
    <col min="8705" max="8705" width="3.77734375" customWidth="1"/>
    <col min="8706" max="8706" width="27.44140625" customWidth="1"/>
    <col min="8707" max="8708" width="12.109375" customWidth="1"/>
    <col min="8709" max="8709" width="13" customWidth="1"/>
    <col min="8710" max="8710" width="12" customWidth="1"/>
    <col min="8711" max="8711" width="12.33203125" customWidth="1"/>
    <col min="8712" max="8712" width="12.6640625" customWidth="1"/>
    <col min="8713" max="8713" width="14.88671875" customWidth="1"/>
    <col min="8714" max="8714" width="14.44140625" customWidth="1"/>
    <col min="8715" max="8715" width="13.109375" customWidth="1"/>
    <col min="8961" max="8961" width="3.77734375" customWidth="1"/>
    <col min="8962" max="8962" width="27.44140625" customWidth="1"/>
    <col min="8963" max="8964" width="12.109375" customWidth="1"/>
    <col min="8965" max="8965" width="13" customWidth="1"/>
    <col min="8966" max="8966" width="12" customWidth="1"/>
    <col min="8967" max="8967" width="12.33203125" customWidth="1"/>
    <col min="8968" max="8968" width="12.6640625" customWidth="1"/>
    <col min="8969" max="8969" width="14.88671875" customWidth="1"/>
    <col min="8970" max="8970" width="14.44140625" customWidth="1"/>
    <col min="8971" max="8971" width="13.109375" customWidth="1"/>
    <col min="9217" max="9217" width="3.77734375" customWidth="1"/>
    <col min="9218" max="9218" width="27.44140625" customWidth="1"/>
    <col min="9219" max="9220" width="12.109375" customWidth="1"/>
    <col min="9221" max="9221" width="13" customWidth="1"/>
    <col min="9222" max="9222" width="12" customWidth="1"/>
    <col min="9223" max="9223" width="12.33203125" customWidth="1"/>
    <col min="9224" max="9224" width="12.6640625" customWidth="1"/>
    <col min="9225" max="9225" width="14.88671875" customWidth="1"/>
    <col min="9226" max="9226" width="14.44140625" customWidth="1"/>
    <col min="9227" max="9227" width="13.109375" customWidth="1"/>
    <col min="9473" max="9473" width="3.77734375" customWidth="1"/>
    <col min="9474" max="9474" width="27.44140625" customWidth="1"/>
    <col min="9475" max="9476" width="12.109375" customWidth="1"/>
    <col min="9477" max="9477" width="13" customWidth="1"/>
    <col min="9478" max="9478" width="12" customWidth="1"/>
    <col min="9479" max="9479" width="12.33203125" customWidth="1"/>
    <col min="9480" max="9480" width="12.6640625" customWidth="1"/>
    <col min="9481" max="9481" width="14.88671875" customWidth="1"/>
    <col min="9482" max="9482" width="14.44140625" customWidth="1"/>
    <col min="9483" max="9483" width="13.109375" customWidth="1"/>
    <col min="9729" max="9729" width="3.77734375" customWidth="1"/>
    <col min="9730" max="9730" width="27.44140625" customWidth="1"/>
    <col min="9731" max="9732" width="12.109375" customWidth="1"/>
    <col min="9733" max="9733" width="13" customWidth="1"/>
    <col min="9734" max="9734" width="12" customWidth="1"/>
    <col min="9735" max="9735" width="12.33203125" customWidth="1"/>
    <col min="9736" max="9736" width="12.6640625" customWidth="1"/>
    <col min="9737" max="9737" width="14.88671875" customWidth="1"/>
    <col min="9738" max="9738" width="14.44140625" customWidth="1"/>
    <col min="9739" max="9739" width="13.109375" customWidth="1"/>
    <col min="9985" max="9985" width="3.77734375" customWidth="1"/>
    <col min="9986" max="9986" width="27.44140625" customWidth="1"/>
    <col min="9987" max="9988" width="12.109375" customWidth="1"/>
    <col min="9989" max="9989" width="13" customWidth="1"/>
    <col min="9990" max="9990" width="12" customWidth="1"/>
    <col min="9991" max="9991" width="12.33203125" customWidth="1"/>
    <col min="9992" max="9992" width="12.6640625" customWidth="1"/>
    <col min="9993" max="9993" width="14.88671875" customWidth="1"/>
    <col min="9994" max="9994" width="14.44140625" customWidth="1"/>
    <col min="9995" max="9995" width="13.109375" customWidth="1"/>
    <col min="10241" max="10241" width="3.77734375" customWidth="1"/>
    <col min="10242" max="10242" width="27.44140625" customWidth="1"/>
    <col min="10243" max="10244" width="12.109375" customWidth="1"/>
    <col min="10245" max="10245" width="13" customWidth="1"/>
    <col min="10246" max="10246" width="12" customWidth="1"/>
    <col min="10247" max="10247" width="12.33203125" customWidth="1"/>
    <col min="10248" max="10248" width="12.6640625" customWidth="1"/>
    <col min="10249" max="10249" width="14.88671875" customWidth="1"/>
    <col min="10250" max="10250" width="14.44140625" customWidth="1"/>
    <col min="10251" max="10251" width="13.109375" customWidth="1"/>
    <col min="10497" max="10497" width="3.77734375" customWidth="1"/>
    <col min="10498" max="10498" width="27.44140625" customWidth="1"/>
    <col min="10499" max="10500" width="12.109375" customWidth="1"/>
    <col min="10501" max="10501" width="13" customWidth="1"/>
    <col min="10502" max="10502" width="12" customWidth="1"/>
    <col min="10503" max="10503" width="12.33203125" customWidth="1"/>
    <col min="10504" max="10504" width="12.6640625" customWidth="1"/>
    <col min="10505" max="10505" width="14.88671875" customWidth="1"/>
    <col min="10506" max="10506" width="14.44140625" customWidth="1"/>
    <col min="10507" max="10507" width="13.109375" customWidth="1"/>
    <col min="10753" max="10753" width="3.77734375" customWidth="1"/>
    <col min="10754" max="10754" width="27.44140625" customWidth="1"/>
    <col min="10755" max="10756" width="12.109375" customWidth="1"/>
    <col min="10757" max="10757" width="13" customWidth="1"/>
    <col min="10758" max="10758" width="12" customWidth="1"/>
    <col min="10759" max="10759" width="12.33203125" customWidth="1"/>
    <col min="10760" max="10760" width="12.6640625" customWidth="1"/>
    <col min="10761" max="10761" width="14.88671875" customWidth="1"/>
    <col min="10762" max="10762" width="14.44140625" customWidth="1"/>
    <col min="10763" max="10763" width="13.109375" customWidth="1"/>
    <col min="11009" max="11009" width="3.77734375" customWidth="1"/>
    <col min="11010" max="11010" width="27.44140625" customWidth="1"/>
    <col min="11011" max="11012" width="12.109375" customWidth="1"/>
    <col min="11013" max="11013" width="13" customWidth="1"/>
    <col min="11014" max="11014" width="12" customWidth="1"/>
    <col min="11015" max="11015" width="12.33203125" customWidth="1"/>
    <col min="11016" max="11016" width="12.6640625" customWidth="1"/>
    <col min="11017" max="11017" width="14.88671875" customWidth="1"/>
    <col min="11018" max="11018" width="14.44140625" customWidth="1"/>
    <col min="11019" max="11019" width="13.109375" customWidth="1"/>
    <col min="11265" max="11265" width="3.77734375" customWidth="1"/>
    <col min="11266" max="11266" width="27.44140625" customWidth="1"/>
    <col min="11267" max="11268" width="12.109375" customWidth="1"/>
    <col min="11269" max="11269" width="13" customWidth="1"/>
    <col min="11270" max="11270" width="12" customWidth="1"/>
    <col min="11271" max="11271" width="12.33203125" customWidth="1"/>
    <col min="11272" max="11272" width="12.6640625" customWidth="1"/>
    <col min="11273" max="11273" width="14.88671875" customWidth="1"/>
    <col min="11274" max="11274" width="14.44140625" customWidth="1"/>
    <col min="11275" max="11275" width="13.109375" customWidth="1"/>
    <col min="11521" max="11521" width="3.77734375" customWidth="1"/>
    <col min="11522" max="11522" width="27.44140625" customWidth="1"/>
    <col min="11523" max="11524" width="12.109375" customWidth="1"/>
    <col min="11525" max="11525" width="13" customWidth="1"/>
    <col min="11526" max="11526" width="12" customWidth="1"/>
    <col min="11527" max="11527" width="12.33203125" customWidth="1"/>
    <col min="11528" max="11528" width="12.6640625" customWidth="1"/>
    <col min="11529" max="11529" width="14.88671875" customWidth="1"/>
    <col min="11530" max="11530" width="14.44140625" customWidth="1"/>
    <col min="11531" max="11531" width="13.109375" customWidth="1"/>
    <col min="11777" max="11777" width="3.77734375" customWidth="1"/>
    <col min="11778" max="11778" width="27.44140625" customWidth="1"/>
    <col min="11779" max="11780" width="12.109375" customWidth="1"/>
    <col min="11781" max="11781" width="13" customWidth="1"/>
    <col min="11782" max="11782" width="12" customWidth="1"/>
    <col min="11783" max="11783" width="12.33203125" customWidth="1"/>
    <col min="11784" max="11784" width="12.6640625" customWidth="1"/>
    <col min="11785" max="11785" width="14.88671875" customWidth="1"/>
    <col min="11786" max="11786" width="14.44140625" customWidth="1"/>
    <col min="11787" max="11787" width="13.109375" customWidth="1"/>
    <col min="12033" max="12033" width="3.77734375" customWidth="1"/>
    <col min="12034" max="12034" width="27.44140625" customWidth="1"/>
    <col min="12035" max="12036" width="12.109375" customWidth="1"/>
    <col min="12037" max="12037" width="13" customWidth="1"/>
    <col min="12038" max="12038" width="12" customWidth="1"/>
    <col min="12039" max="12039" width="12.33203125" customWidth="1"/>
    <col min="12040" max="12040" width="12.6640625" customWidth="1"/>
    <col min="12041" max="12041" width="14.88671875" customWidth="1"/>
    <col min="12042" max="12042" width="14.44140625" customWidth="1"/>
    <col min="12043" max="12043" width="13.109375" customWidth="1"/>
    <col min="12289" max="12289" width="3.77734375" customWidth="1"/>
    <col min="12290" max="12290" width="27.44140625" customWidth="1"/>
    <col min="12291" max="12292" width="12.109375" customWidth="1"/>
    <col min="12293" max="12293" width="13" customWidth="1"/>
    <col min="12294" max="12294" width="12" customWidth="1"/>
    <col min="12295" max="12295" width="12.33203125" customWidth="1"/>
    <col min="12296" max="12296" width="12.6640625" customWidth="1"/>
    <col min="12297" max="12297" width="14.88671875" customWidth="1"/>
    <col min="12298" max="12298" width="14.44140625" customWidth="1"/>
    <col min="12299" max="12299" width="13.109375" customWidth="1"/>
    <col min="12545" max="12545" width="3.77734375" customWidth="1"/>
    <col min="12546" max="12546" width="27.44140625" customWidth="1"/>
    <col min="12547" max="12548" width="12.109375" customWidth="1"/>
    <col min="12549" max="12549" width="13" customWidth="1"/>
    <col min="12550" max="12550" width="12" customWidth="1"/>
    <col min="12551" max="12551" width="12.33203125" customWidth="1"/>
    <col min="12552" max="12552" width="12.6640625" customWidth="1"/>
    <col min="12553" max="12553" width="14.88671875" customWidth="1"/>
    <col min="12554" max="12554" width="14.44140625" customWidth="1"/>
    <col min="12555" max="12555" width="13.109375" customWidth="1"/>
    <col min="12801" max="12801" width="3.77734375" customWidth="1"/>
    <col min="12802" max="12802" width="27.44140625" customWidth="1"/>
    <col min="12803" max="12804" width="12.109375" customWidth="1"/>
    <col min="12805" max="12805" width="13" customWidth="1"/>
    <col min="12806" max="12806" width="12" customWidth="1"/>
    <col min="12807" max="12807" width="12.33203125" customWidth="1"/>
    <col min="12808" max="12808" width="12.6640625" customWidth="1"/>
    <col min="12809" max="12809" width="14.88671875" customWidth="1"/>
    <col min="12810" max="12810" width="14.44140625" customWidth="1"/>
    <col min="12811" max="12811" width="13.109375" customWidth="1"/>
    <col min="13057" max="13057" width="3.77734375" customWidth="1"/>
    <col min="13058" max="13058" width="27.44140625" customWidth="1"/>
    <col min="13059" max="13060" width="12.109375" customWidth="1"/>
    <col min="13061" max="13061" width="13" customWidth="1"/>
    <col min="13062" max="13062" width="12" customWidth="1"/>
    <col min="13063" max="13063" width="12.33203125" customWidth="1"/>
    <col min="13064" max="13064" width="12.6640625" customWidth="1"/>
    <col min="13065" max="13065" width="14.88671875" customWidth="1"/>
    <col min="13066" max="13066" width="14.44140625" customWidth="1"/>
    <col min="13067" max="13067" width="13.109375" customWidth="1"/>
    <col min="13313" max="13313" width="3.77734375" customWidth="1"/>
    <col min="13314" max="13314" width="27.44140625" customWidth="1"/>
    <col min="13315" max="13316" width="12.109375" customWidth="1"/>
    <col min="13317" max="13317" width="13" customWidth="1"/>
    <col min="13318" max="13318" width="12" customWidth="1"/>
    <col min="13319" max="13319" width="12.33203125" customWidth="1"/>
    <col min="13320" max="13320" width="12.6640625" customWidth="1"/>
    <col min="13321" max="13321" width="14.88671875" customWidth="1"/>
    <col min="13322" max="13322" width="14.44140625" customWidth="1"/>
    <col min="13323" max="13323" width="13.109375" customWidth="1"/>
    <col min="13569" max="13569" width="3.77734375" customWidth="1"/>
    <col min="13570" max="13570" width="27.44140625" customWidth="1"/>
    <col min="13571" max="13572" width="12.109375" customWidth="1"/>
    <col min="13573" max="13573" width="13" customWidth="1"/>
    <col min="13574" max="13574" width="12" customWidth="1"/>
    <col min="13575" max="13575" width="12.33203125" customWidth="1"/>
    <col min="13576" max="13576" width="12.6640625" customWidth="1"/>
    <col min="13577" max="13577" width="14.88671875" customWidth="1"/>
    <col min="13578" max="13578" width="14.44140625" customWidth="1"/>
    <col min="13579" max="13579" width="13.109375" customWidth="1"/>
    <col min="13825" max="13825" width="3.77734375" customWidth="1"/>
    <col min="13826" max="13826" width="27.44140625" customWidth="1"/>
    <col min="13827" max="13828" width="12.109375" customWidth="1"/>
    <col min="13829" max="13829" width="13" customWidth="1"/>
    <col min="13830" max="13830" width="12" customWidth="1"/>
    <col min="13831" max="13831" width="12.33203125" customWidth="1"/>
    <col min="13832" max="13832" width="12.6640625" customWidth="1"/>
    <col min="13833" max="13833" width="14.88671875" customWidth="1"/>
    <col min="13834" max="13834" width="14.44140625" customWidth="1"/>
    <col min="13835" max="13835" width="13.109375" customWidth="1"/>
    <col min="14081" max="14081" width="3.77734375" customWidth="1"/>
    <col min="14082" max="14082" width="27.44140625" customWidth="1"/>
    <col min="14083" max="14084" width="12.109375" customWidth="1"/>
    <col min="14085" max="14085" width="13" customWidth="1"/>
    <col min="14086" max="14086" width="12" customWidth="1"/>
    <col min="14087" max="14087" width="12.33203125" customWidth="1"/>
    <col min="14088" max="14088" width="12.6640625" customWidth="1"/>
    <col min="14089" max="14089" width="14.88671875" customWidth="1"/>
    <col min="14090" max="14090" width="14.44140625" customWidth="1"/>
    <col min="14091" max="14091" width="13.109375" customWidth="1"/>
    <col min="14337" max="14337" width="3.77734375" customWidth="1"/>
    <col min="14338" max="14338" width="27.44140625" customWidth="1"/>
    <col min="14339" max="14340" width="12.109375" customWidth="1"/>
    <col min="14341" max="14341" width="13" customWidth="1"/>
    <col min="14342" max="14342" width="12" customWidth="1"/>
    <col min="14343" max="14343" width="12.33203125" customWidth="1"/>
    <col min="14344" max="14344" width="12.6640625" customWidth="1"/>
    <col min="14345" max="14345" width="14.88671875" customWidth="1"/>
    <col min="14346" max="14346" width="14.44140625" customWidth="1"/>
    <col min="14347" max="14347" width="13.109375" customWidth="1"/>
    <col min="14593" max="14593" width="3.77734375" customWidth="1"/>
    <col min="14594" max="14594" width="27.44140625" customWidth="1"/>
    <col min="14595" max="14596" width="12.109375" customWidth="1"/>
    <col min="14597" max="14597" width="13" customWidth="1"/>
    <col min="14598" max="14598" width="12" customWidth="1"/>
    <col min="14599" max="14599" width="12.33203125" customWidth="1"/>
    <col min="14600" max="14600" width="12.6640625" customWidth="1"/>
    <col min="14601" max="14601" width="14.88671875" customWidth="1"/>
    <col min="14602" max="14602" width="14.44140625" customWidth="1"/>
    <col min="14603" max="14603" width="13.109375" customWidth="1"/>
    <col min="14849" max="14849" width="3.77734375" customWidth="1"/>
    <col min="14850" max="14850" width="27.44140625" customWidth="1"/>
    <col min="14851" max="14852" width="12.109375" customWidth="1"/>
    <col min="14853" max="14853" width="13" customWidth="1"/>
    <col min="14854" max="14854" width="12" customWidth="1"/>
    <col min="14855" max="14855" width="12.33203125" customWidth="1"/>
    <col min="14856" max="14856" width="12.6640625" customWidth="1"/>
    <col min="14857" max="14857" width="14.88671875" customWidth="1"/>
    <col min="14858" max="14858" width="14.44140625" customWidth="1"/>
    <col min="14859" max="14859" width="13.109375" customWidth="1"/>
    <col min="15105" max="15105" width="3.77734375" customWidth="1"/>
    <col min="15106" max="15106" width="27.44140625" customWidth="1"/>
    <col min="15107" max="15108" width="12.109375" customWidth="1"/>
    <col min="15109" max="15109" width="13" customWidth="1"/>
    <col min="15110" max="15110" width="12" customWidth="1"/>
    <col min="15111" max="15111" width="12.33203125" customWidth="1"/>
    <col min="15112" max="15112" width="12.6640625" customWidth="1"/>
    <col min="15113" max="15113" width="14.88671875" customWidth="1"/>
    <col min="15114" max="15114" width="14.44140625" customWidth="1"/>
    <col min="15115" max="15115" width="13.109375" customWidth="1"/>
    <col min="15361" max="15361" width="3.77734375" customWidth="1"/>
    <col min="15362" max="15362" width="27.44140625" customWidth="1"/>
    <col min="15363" max="15364" width="12.109375" customWidth="1"/>
    <col min="15365" max="15365" width="13" customWidth="1"/>
    <col min="15366" max="15366" width="12" customWidth="1"/>
    <col min="15367" max="15367" width="12.33203125" customWidth="1"/>
    <col min="15368" max="15368" width="12.6640625" customWidth="1"/>
    <col min="15369" max="15369" width="14.88671875" customWidth="1"/>
    <col min="15370" max="15370" width="14.44140625" customWidth="1"/>
    <col min="15371" max="15371" width="13.109375" customWidth="1"/>
    <col min="15617" max="15617" width="3.77734375" customWidth="1"/>
    <col min="15618" max="15618" width="27.44140625" customWidth="1"/>
    <col min="15619" max="15620" width="12.109375" customWidth="1"/>
    <col min="15621" max="15621" width="13" customWidth="1"/>
    <col min="15622" max="15622" width="12" customWidth="1"/>
    <col min="15623" max="15623" width="12.33203125" customWidth="1"/>
    <col min="15624" max="15624" width="12.6640625" customWidth="1"/>
    <col min="15625" max="15625" width="14.88671875" customWidth="1"/>
    <col min="15626" max="15626" width="14.44140625" customWidth="1"/>
    <col min="15627" max="15627" width="13.109375" customWidth="1"/>
    <col min="15873" max="15873" width="3.77734375" customWidth="1"/>
    <col min="15874" max="15874" width="27.44140625" customWidth="1"/>
    <col min="15875" max="15876" width="12.109375" customWidth="1"/>
    <col min="15877" max="15877" width="13" customWidth="1"/>
    <col min="15878" max="15878" width="12" customWidth="1"/>
    <col min="15879" max="15879" width="12.33203125" customWidth="1"/>
    <col min="15880" max="15880" width="12.6640625" customWidth="1"/>
    <col min="15881" max="15881" width="14.88671875" customWidth="1"/>
    <col min="15882" max="15882" width="14.44140625" customWidth="1"/>
    <col min="15883" max="15883" width="13.109375" customWidth="1"/>
    <col min="16129" max="16129" width="3.77734375" customWidth="1"/>
    <col min="16130" max="16130" width="27.44140625" customWidth="1"/>
    <col min="16131" max="16132" width="12.109375" customWidth="1"/>
    <col min="16133" max="16133" width="13" customWidth="1"/>
    <col min="16134" max="16134" width="12" customWidth="1"/>
    <col min="16135" max="16135" width="12.33203125" customWidth="1"/>
    <col min="16136" max="16136" width="12.6640625" customWidth="1"/>
    <col min="16137" max="16137" width="14.88671875" customWidth="1"/>
    <col min="16138" max="16138" width="14.44140625" customWidth="1"/>
    <col min="16139" max="16139" width="13.109375" customWidth="1"/>
  </cols>
  <sheetData>
    <row r="1" spans="1:11" x14ac:dyDescent="0.3">
      <c r="A1" s="27"/>
      <c r="B1" s="28" t="s">
        <v>54</v>
      </c>
      <c r="C1" s="28" t="s">
        <v>55</v>
      </c>
      <c r="D1" s="28" t="s">
        <v>56</v>
      </c>
      <c r="E1" s="28" t="s">
        <v>57</v>
      </c>
      <c r="F1" s="28" t="s">
        <v>58</v>
      </c>
      <c r="G1" s="28" t="s">
        <v>59</v>
      </c>
      <c r="H1" s="28" t="s">
        <v>60</v>
      </c>
    </row>
    <row r="2" spans="1:11" ht="47.25" customHeight="1" x14ac:dyDescent="0.3">
      <c r="A2" s="27">
        <v>1</v>
      </c>
      <c r="B2" s="123" t="s">
        <v>2</v>
      </c>
      <c r="C2" s="123"/>
      <c r="D2" s="123"/>
      <c r="E2" s="123"/>
      <c r="F2" s="30" t="s">
        <v>0</v>
      </c>
      <c r="G2" s="118" t="s">
        <v>1</v>
      </c>
      <c r="H2" s="118"/>
      <c r="I2" s="31"/>
      <c r="J2" s="32"/>
      <c r="K2" s="32"/>
    </row>
    <row r="3" spans="1:11" ht="15.6" x14ac:dyDescent="0.3">
      <c r="A3" s="27">
        <v>2</v>
      </c>
      <c r="B3" s="121" t="s">
        <v>205</v>
      </c>
      <c r="C3" s="121"/>
      <c r="D3" s="39">
        <v>3</v>
      </c>
      <c r="E3" s="122" t="s">
        <v>4</v>
      </c>
      <c r="F3" s="122"/>
      <c r="G3" s="118">
        <v>1</v>
      </c>
      <c r="H3" s="118"/>
      <c r="I3" s="31"/>
      <c r="J3" s="32"/>
      <c r="K3" s="32"/>
    </row>
    <row r="4" spans="1:11" ht="15.6" x14ac:dyDescent="0.3">
      <c r="A4" s="27">
        <v>3</v>
      </c>
      <c r="B4" s="121" t="s">
        <v>206</v>
      </c>
      <c r="C4" s="121"/>
      <c r="D4" s="39">
        <v>5</v>
      </c>
      <c r="E4" s="122" t="s">
        <v>3</v>
      </c>
      <c r="F4" s="122"/>
      <c r="G4" s="118" t="s">
        <v>5</v>
      </c>
      <c r="H4" s="118"/>
      <c r="I4" s="31"/>
      <c r="J4" s="32"/>
      <c r="K4" s="32"/>
    </row>
    <row r="5" spans="1:11" ht="46.8" x14ac:dyDescent="0.3">
      <c r="A5" s="27">
        <v>4</v>
      </c>
      <c r="B5" s="29" t="s">
        <v>6</v>
      </c>
      <c r="C5" s="29" t="s">
        <v>7</v>
      </c>
      <c r="D5" s="29" t="s">
        <v>8</v>
      </c>
      <c r="E5" s="29" t="s">
        <v>9</v>
      </c>
      <c r="F5" s="29" t="s">
        <v>61</v>
      </c>
      <c r="G5" s="29" t="s">
        <v>62</v>
      </c>
      <c r="H5" s="29" t="s">
        <v>63</v>
      </c>
      <c r="I5" s="33"/>
      <c r="J5" s="33"/>
      <c r="K5" s="33"/>
    </row>
    <row r="6" spans="1:11" ht="15.75" customHeight="1" x14ac:dyDescent="0.3">
      <c r="A6" s="27">
        <v>5</v>
      </c>
      <c r="B6" s="34">
        <v>41795</v>
      </c>
      <c r="C6" s="72">
        <v>83</v>
      </c>
      <c r="D6" s="72">
        <v>83</v>
      </c>
      <c r="E6" s="72">
        <v>82</v>
      </c>
      <c r="F6" s="35">
        <f>AVERAGE(C6:E6)</f>
        <v>82.666666666666671</v>
      </c>
      <c r="G6" s="35">
        <f>SQRT(H6)</f>
        <v>0.57735026918962573</v>
      </c>
      <c r="H6" s="35">
        <f>VAR(C6:E6)</f>
        <v>0.33333333333333331</v>
      </c>
      <c r="I6" s="31"/>
      <c r="J6" s="31"/>
      <c r="K6" s="31"/>
    </row>
    <row r="7" spans="1:11" ht="15.75" customHeight="1" x14ac:dyDescent="0.3">
      <c r="A7" s="27">
        <v>6</v>
      </c>
      <c r="B7" s="34">
        <v>41796</v>
      </c>
      <c r="C7" s="72">
        <v>83</v>
      </c>
      <c r="D7" s="72">
        <v>83</v>
      </c>
      <c r="E7" s="72">
        <v>84</v>
      </c>
      <c r="F7" s="35">
        <f>AVERAGE(C7:E7)</f>
        <v>83.333333333333329</v>
      </c>
      <c r="G7" s="35">
        <f>SQRT(H7)</f>
        <v>0.57735026918962573</v>
      </c>
      <c r="H7" s="35">
        <f>VAR(C7:E7)</f>
        <v>0.33333333333333331</v>
      </c>
      <c r="I7" s="31"/>
      <c r="J7" s="31"/>
      <c r="K7" s="31"/>
    </row>
    <row r="8" spans="1:11" ht="15.75" customHeight="1" x14ac:dyDescent="0.3">
      <c r="A8" s="27">
        <v>7</v>
      </c>
      <c r="B8" s="34">
        <v>41799</v>
      </c>
      <c r="C8" s="72">
        <v>82</v>
      </c>
      <c r="D8" s="72">
        <v>84</v>
      </c>
      <c r="E8" s="72">
        <v>84</v>
      </c>
      <c r="F8" s="35">
        <f>AVERAGE(C8:E8)</f>
        <v>83.333333333333329</v>
      </c>
      <c r="G8" s="35">
        <f>SQRT(H8)</f>
        <v>1.1547005383792517</v>
      </c>
      <c r="H8" s="35">
        <f>VAR(C8:E8)</f>
        <v>1.3333333333333335</v>
      </c>
      <c r="I8" s="31"/>
      <c r="J8" s="31"/>
      <c r="K8" s="31"/>
    </row>
    <row r="9" spans="1:11" ht="15.75" customHeight="1" x14ac:dyDescent="0.3">
      <c r="A9" s="27">
        <v>8</v>
      </c>
      <c r="B9" s="34">
        <v>41800</v>
      </c>
      <c r="C9" s="72">
        <v>84</v>
      </c>
      <c r="D9" s="72">
        <v>84</v>
      </c>
      <c r="E9" s="72">
        <v>84</v>
      </c>
      <c r="F9" s="35">
        <f>AVERAGE(C9:E9)</f>
        <v>84</v>
      </c>
      <c r="G9" s="35">
        <f>SQRT(H9)</f>
        <v>0</v>
      </c>
      <c r="H9" s="35">
        <f>VAR(C9:E9)</f>
        <v>0</v>
      </c>
      <c r="I9" s="31"/>
      <c r="J9" s="31"/>
      <c r="K9" s="31"/>
    </row>
    <row r="10" spans="1:11" ht="15.75" customHeight="1" x14ac:dyDescent="0.3">
      <c r="A10" s="27">
        <v>9</v>
      </c>
      <c r="B10" s="34">
        <v>41801</v>
      </c>
      <c r="C10" s="72">
        <v>84</v>
      </c>
      <c r="D10" s="72">
        <v>84</v>
      </c>
      <c r="E10" s="72">
        <v>84</v>
      </c>
      <c r="F10" s="35">
        <f>AVERAGE(C10:E10)</f>
        <v>84</v>
      </c>
      <c r="G10" s="35">
        <f>SQRT(H10)</f>
        <v>0</v>
      </c>
      <c r="H10" s="35">
        <f>VAR(C10:E10)</f>
        <v>0</v>
      </c>
      <c r="I10" s="31"/>
      <c r="J10" s="31"/>
      <c r="K10" s="31"/>
    </row>
    <row r="11" spans="1:11" ht="15.75" customHeight="1" x14ac:dyDescent="0.3">
      <c r="A11" s="27">
        <v>10</v>
      </c>
      <c r="B11" s="36" t="s">
        <v>10</v>
      </c>
      <c r="C11" s="37"/>
      <c r="D11" s="37"/>
      <c r="E11" s="37"/>
      <c r="F11" s="35">
        <f t="shared" ref="F11" si="0">AVERAGE(F6:F10)</f>
        <v>83.466666666666669</v>
      </c>
      <c r="G11" s="35"/>
      <c r="H11" s="35"/>
      <c r="I11" s="31"/>
      <c r="J11" s="31"/>
      <c r="K11" s="31"/>
    </row>
    <row r="12" spans="1:11" ht="15.75" customHeight="1" x14ac:dyDescent="0.3">
      <c r="A12" s="27">
        <v>11</v>
      </c>
      <c r="B12" s="115" t="s">
        <v>11</v>
      </c>
      <c r="C12" s="115"/>
      <c r="D12" s="115"/>
      <c r="E12" s="115"/>
      <c r="F12" s="115"/>
      <c r="G12" s="115"/>
      <c r="H12" s="115"/>
      <c r="I12" s="33"/>
      <c r="J12" s="33"/>
      <c r="K12" s="33"/>
    </row>
    <row r="13" spans="1:11" ht="15.75" customHeight="1" x14ac:dyDescent="0.3">
      <c r="A13" s="27">
        <v>12</v>
      </c>
      <c r="B13" s="116" t="s">
        <v>12</v>
      </c>
      <c r="C13" s="116"/>
      <c r="D13" s="116" t="s">
        <v>64</v>
      </c>
      <c r="E13" s="116"/>
      <c r="F13" s="117">
        <f>AVERAGE(C6:E10)</f>
        <v>83.466666666666669</v>
      </c>
      <c r="G13" s="117"/>
      <c r="H13" s="117"/>
      <c r="I13" s="31"/>
      <c r="J13" s="31"/>
      <c r="K13" s="31"/>
    </row>
    <row r="14" spans="1:11" ht="15.6" x14ac:dyDescent="0.3">
      <c r="A14" s="27">
        <v>13</v>
      </c>
      <c r="B14" s="116" t="s">
        <v>74</v>
      </c>
      <c r="C14" s="116"/>
      <c r="D14" s="116" t="s">
        <v>65</v>
      </c>
      <c r="E14" s="116"/>
      <c r="F14" s="117">
        <f>AVERAGE(H6:H10)</f>
        <v>0.4</v>
      </c>
      <c r="G14" s="117"/>
      <c r="H14" s="117"/>
      <c r="I14" s="31"/>
      <c r="J14" s="31"/>
      <c r="K14" s="31"/>
    </row>
    <row r="15" spans="1:11" ht="15.75" customHeight="1" x14ac:dyDescent="0.3">
      <c r="A15" s="27">
        <v>14</v>
      </c>
      <c r="B15" s="116" t="s">
        <v>13</v>
      </c>
      <c r="C15" s="116"/>
      <c r="D15" s="116" t="s">
        <v>79</v>
      </c>
      <c r="E15" s="116"/>
      <c r="F15" s="117">
        <f>SQRT(F14)</f>
        <v>0.63245553203367588</v>
      </c>
      <c r="G15" s="117"/>
      <c r="H15" s="117"/>
      <c r="I15" s="31"/>
      <c r="J15" s="31"/>
      <c r="K15" s="31"/>
    </row>
    <row r="16" spans="1:11" ht="15.75" customHeight="1" x14ac:dyDescent="0.3">
      <c r="A16" s="27">
        <v>15</v>
      </c>
      <c r="B16" s="116" t="s">
        <v>66</v>
      </c>
      <c r="C16" s="116"/>
      <c r="D16" s="116" t="s">
        <v>67</v>
      </c>
      <c r="E16" s="116"/>
      <c r="F16" s="117">
        <f>_xlfn.STDEV.S(F6:F10)</f>
        <v>0.55777335102271597</v>
      </c>
      <c r="G16" s="117"/>
      <c r="H16" s="117"/>
      <c r="I16" s="31"/>
      <c r="J16" s="31"/>
      <c r="K16" s="31"/>
    </row>
    <row r="17" spans="1:11" ht="15.6" x14ac:dyDescent="0.3">
      <c r="A17" s="27">
        <v>16</v>
      </c>
      <c r="B17" s="116" t="s">
        <v>73</v>
      </c>
      <c r="C17" s="116"/>
      <c r="D17" s="147" t="s">
        <v>77</v>
      </c>
      <c r="E17" s="147"/>
      <c r="F17" s="117">
        <f>F16^2</f>
        <v>0.31111111111110995</v>
      </c>
      <c r="G17" s="117"/>
      <c r="H17" s="117"/>
      <c r="I17" s="38"/>
      <c r="J17" s="31"/>
      <c r="K17" s="31"/>
    </row>
    <row r="18" spans="1:11" ht="15.75" customHeight="1" x14ac:dyDescent="0.3">
      <c r="A18" s="27">
        <v>17</v>
      </c>
      <c r="B18" s="116" t="s">
        <v>72</v>
      </c>
      <c r="C18" s="116"/>
      <c r="D18" s="147" t="s">
        <v>68</v>
      </c>
      <c r="E18" s="147"/>
      <c r="F18" s="117">
        <f>F14/F17</f>
        <v>1.2857142857142905</v>
      </c>
      <c r="G18" s="117"/>
      <c r="H18" s="117"/>
      <c r="I18" s="31"/>
      <c r="J18" s="31"/>
      <c r="K18" s="31"/>
    </row>
    <row r="19" spans="1:11" ht="15.6" x14ac:dyDescent="0.3">
      <c r="A19" s="27">
        <v>18</v>
      </c>
      <c r="B19" s="116" t="s">
        <v>14</v>
      </c>
      <c r="C19" s="116"/>
      <c r="D19" s="147" t="s">
        <v>207</v>
      </c>
      <c r="E19" s="147"/>
      <c r="F19" s="117">
        <f>((D3-1)/D3)*F14+F17</f>
        <v>0.57777777777777661</v>
      </c>
      <c r="G19" s="117"/>
      <c r="H19" s="117"/>
      <c r="I19" s="31"/>
      <c r="J19" s="31"/>
      <c r="K19" s="31"/>
    </row>
    <row r="20" spans="1:11" ht="15.75" customHeight="1" x14ac:dyDescent="0.3">
      <c r="A20" s="27">
        <v>19</v>
      </c>
      <c r="B20" s="119" t="s">
        <v>15</v>
      </c>
      <c r="C20" s="119"/>
      <c r="D20" s="116" t="s">
        <v>78</v>
      </c>
      <c r="E20" s="116"/>
      <c r="F20" s="120">
        <f>SQRT(F19)</f>
        <v>0.76011695006609126</v>
      </c>
      <c r="G20" s="120"/>
      <c r="H20" s="120"/>
      <c r="I20" s="33"/>
      <c r="J20" s="33"/>
      <c r="K20" s="33"/>
    </row>
    <row r="21" spans="1:11" ht="15.75" customHeight="1" x14ac:dyDescent="0.3">
      <c r="A21" s="27">
        <v>20</v>
      </c>
      <c r="B21" s="116" t="s">
        <v>75</v>
      </c>
      <c r="C21" s="116"/>
      <c r="D21" s="116" t="s">
        <v>69</v>
      </c>
      <c r="E21" s="116"/>
      <c r="F21" s="117">
        <f>(F20/F13)*100</f>
        <v>0.91068324688429458</v>
      </c>
      <c r="G21" s="117"/>
      <c r="H21" s="117"/>
      <c r="I21" s="31"/>
      <c r="J21" s="31"/>
      <c r="K21" s="31"/>
    </row>
    <row r="22" spans="1:11" ht="15.75" customHeight="1" x14ac:dyDescent="0.3">
      <c r="A22" s="27">
        <v>21</v>
      </c>
      <c r="B22" s="148" t="s">
        <v>208</v>
      </c>
      <c r="C22" s="148"/>
      <c r="D22" s="148"/>
      <c r="E22" s="148"/>
      <c r="F22" s="148"/>
      <c r="G22" s="148"/>
      <c r="H22" s="148"/>
      <c r="I22" s="33"/>
      <c r="J22" s="33"/>
      <c r="K22" s="33"/>
    </row>
    <row r="23" spans="1:11" ht="15.6" x14ac:dyDescent="0.3">
      <c r="A23" s="27">
        <v>22</v>
      </c>
      <c r="B23" s="147" t="s">
        <v>82</v>
      </c>
      <c r="C23" s="147"/>
      <c r="D23" s="147"/>
      <c r="E23" s="147"/>
      <c r="F23" s="149">
        <v>0.8</v>
      </c>
      <c r="G23" s="149"/>
      <c r="H23" s="149"/>
      <c r="I23" s="31"/>
      <c r="J23" s="31"/>
      <c r="K23" s="31"/>
    </row>
    <row r="24" spans="1:11" ht="15.75" customHeight="1" x14ac:dyDescent="0.3">
      <c r="A24" s="27">
        <v>23</v>
      </c>
      <c r="B24" s="147" t="s">
        <v>70</v>
      </c>
      <c r="C24" s="147"/>
      <c r="D24" s="147"/>
      <c r="E24" s="147"/>
      <c r="F24" s="149">
        <v>0.93300000000000005</v>
      </c>
      <c r="G24" s="149"/>
      <c r="H24" s="149"/>
      <c r="I24" s="31"/>
      <c r="J24" s="31"/>
      <c r="K24" s="31"/>
    </row>
    <row r="25" spans="1:11" ht="15.6" x14ac:dyDescent="0.3">
      <c r="A25" s="27">
        <v>24</v>
      </c>
      <c r="B25" s="147" t="s">
        <v>76</v>
      </c>
      <c r="C25" s="147"/>
      <c r="D25" s="147"/>
      <c r="E25" s="147"/>
      <c r="F25" s="150">
        <f>F23+F24</f>
        <v>1.7330000000000001</v>
      </c>
      <c r="G25" s="150"/>
      <c r="H25" s="150"/>
      <c r="I25" s="31"/>
      <c r="J25" s="31"/>
      <c r="K25" s="31"/>
    </row>
    <row r="26" spans="1:11" ht="15.6" x14ac:dyDescent="0.3">
      <c r="A26" s="27">
        <v>25</v>
      </c>
      <c r="B26" s="147" t="s">
        <v>209</v>
      </c>
      <c r="C26" s="147"/>
      <c r="D26" s="147" t="s">
        <v>16</v>
      </c>
      <c r="E26" s="147"/>
      <c r="F26" s="151">
        <f>F25^2</f>
        <v>3.0032890000000005</v>
      </c>
      <c r="G26" s="151"/>
      <c r="H26" s="151"/>
      <c r="I26" s="31"/>
      <c r="J26" s="31"/>
      <c r="K26" s="31"/>
    </row>
    <row r="27" spans="1:11" ht="15.6" x14ac:dyDescent="0.3">
      <c r="A27" s="27">
        <v>26</v>
      </c>
      <c r="B27" s="147" t="s">
        <v>80</v>
      </c>
      <c r="C27" s="147"/>
      <c r="D27" s="147"/>
      <c r="E27" s="147"/>
      <c r="F27" s="149">
        <v>0.4</v>
      </c>
      <c r="G27" s="149"/>
      <c r="H27" s="149"/>
      <c r="I27" s="31"/>
      <c r="J27" s="31"/>
      <c r="K27" s="31"/>
    </row>
    <row r="28" spans="1:11" ht="15.6" x14ac:dyDescent="0.3">
      <c r="A28" s="27">
        <v>27</v>
      </c>
      <c r="B28" s="147" t="s">
        <v>81</v>
      </c>
      <c r="C28" s="147"/>
      <c r="D28" s="147"/>
      <c r="E28" s="147"/>
      <c r="F28" s="149">
        <f>F27*F14^2</f>
        <v>6.4000000000000015E-2</v>
      </c>
      <c r="G28" s="149"/>
      <c r="H28" s="149"/>
      <c r="I28" s="31"/>
      <c r="J28" s="31"/>
      <c r="K28" s="31"/>
    </row>
    <row r="29" spans="1:11" ht="15.6" x14ac:dyDescent="0.3">
      <c r="A29" s="27">
        <v>28</v>
      </c>
      <c r="B29" s="147" t="s">
        <v>210</v>
      </c>
      <c r="C29" s="147"/>
      <c r="D29" s="147"/>
      <c r="E29" s="147"/>
      <c r="F29" s="151">
        <f>(D3^2)*(F17^2)/(D4-1)</f>
        <v>0.21777777777777615</v>
      </c>
      <c r="G29" s="151"/>
      <c r="H29" s="151"/>
      <c r="I29" s="31"/>
      <c r="J29" s="31"/>
      <c r="K29" s="31"/>
    </row>
    <row r="30" spans="1:11" ht="15.6" x14ac:dyDescent="0.3">
      <c r="A30" s="27">
        <v>29</v>
      </c>
      <c r="B30" s="147" t="s">
        <v>83</v>
      </c>
      <c r="C30" s="147"/>
      <c r="D30" s="147" t="s">
        <v>17</v>
      </c>
      <c r="E30" s="147"/>
      <c r="F30" s="152">
        <f>F28+F29</f>
        <v>0.28177777777777618</v>
      </c>
      <c r="G30" s="152"/>
      <c r="H30" s="152"/>
      <c r="I30" s="31"/>
      <c r="J30" s="31"/>
      <c r="K30" s="31"/>
    </row>
    <row r="31" spans="1:11" ht="15.75" customHeight="1" x14ac:dyDescent="0.3">
      <c r="A31" s="27">
        <v>30</v>
      </c>
      <c r="B31" s="147" t="s">
        <v>84</v>
      </c>
      <c r="C31" s="147"/>
      <c r="D31" s="147" t="s">
        <v>18</v>
      </c>
      <c r="E31" s="147"/>
      <c r="F31" s="153">
        <f>F26/F30</f>
        <v>10.658360015772933</v>
      </c>
      <c r="G31" s="153"/>
      <c r="H31" s="153"/>
      <c r="I31" s="31"/>
      <c r="J31" s="31"/>
      <c r="K31" s="31"/>
    </row>
    <row r="32" spans="1:11" ht="15.75" customHeight="1" x14ac:dyDescent="0.3">
      <c r="A32" s="27">
        <v>31</v>
      </c>
      <c r="B32" s="148" t="s">
        <v>22</v>
      </c>
      <c r="C32" s="148"/>
      <c r="D32" s="148"/>
      <c r="E32" s="148"/>
      <c r="F32" s="148"/>
      <c r="G32" s="148"/>
      <c r="H32" s="148"/>
      <c r="I32" s="33"/>
      <c r="J32" s="33"/>
      <c r="K32" s="33"/>
    </row>
    <row r="33" spans="1:11" ht="15.6" x14ac:dyDescent="0.3">
      <c r="A33" s="27">
        <v>32</v>
      </c>
      <c r="B33" s="147" t="s">
        <v>211</v>
      </c>
      <c r="C33" s="147"/>
      <c r="D33" s="147"/>
      <c r="E33" s="147"/>
      <c r="F33" s="153">
        <f>F42</f>
        <v>1.0920000000000001</v>
      </c>
      <c r="G33" s="149"/>
      <c r="H33" s="149"/>
      <c r="I33" s="31"/>
      <c r="J33" s="31"/>
      <c r="K33" s="31"/>
    </row>
    <row r="34" spans="1:11" ht="15.6" x14ac:dyDescent="0.3">
      <c r="A34" s="27">
        <v>33</v>
      </c>
      <c r="B34" s="147" t="s">
        <v>86</v>
      </c>
      <c r="C34" s="147"/>
      <c r="D34" s="147"/>
      <c r="E34" s="147"/>
      <c r="F34" s="154">
        <v>11.14</v>
      </c>
      <c r="G34" s="154"/>
      <c r="H34" s="154"/>
      <c r="I34" s="31"/>
      <c r="J34" s="31"/>
      <c r="K34" s="31"/>
    </row>
    <row r="35" spans="1:11" ht="15.6" x14ac:dyDescent="0.3">
      <c r="A35" s="27">
        <v>34</v>
      </c>
      <c r="B35" s="147" t="s">
        <v>85</v>
      </c>
      <c r="C35" s="147"/>
      <c r="D35" s="147"/>
      <c r="E35" s="147"/>
      <c r="F35" s="153">
        <f>F31</f>
        <v>10.658360015772933</v>
      </c>
      <c r="G35" s="153"/>
      <c r="H35" s="153"/>
      <c r="I35" s="31"/>
      <c r="J35" s="31"/>
      <c r="K35" s="31"/>
    </row>
    <row r="36" spans="1:11" ht="15.6" x14ac:dyDescent="0.3">
      <c r="A36" s="27">
        <v>35</v>
      </c>
      <c r="B36" s="147" t="s">
        <v>212</v>
      </c>
      <c r="C36" s="147"/>
      <c r="D36" s="147"/>
      <c r="E36" s="147"/>
      <c r="F36" s="155">
        <f>SQRT(F34)</f>
        <v>3.3376638536557275</v>
      </c>
      <c r="G36" s="155"/>
      <c r="H36" s="155"/>
      <c r="I36" s="31"/>
      <c r="J36" s="31"/>
      <c r="K36" s="31"/>
    </row>
    <row r="37" spans="1:11" ht="15.6" x14ac:dyDescent="0.3">
      <c r="A37" s="27">
        <v>36</v>
      </c>
      <c r="B37" s="147" t="s">
        <v>213</v>
      </c>
      <c r="C37" s="147"/>
      <c r="D37" s="147"/>
      <c r="E37" s="147"/>
      <c r="F37" s="155">
        <f>SQRT(F35)</f>
        <v>3.2647143850225144</v>
      </c>
      <c r="G37" s="155"/>
      <c r="H37" s="155"/>
      <c r="I37" s="31"/>
      <c r="J37" s="31"/>
      <c r="K37" s="31"/>
    </row>
    <row r="38" spans="1:11" ht="15.6" x14ac:dyDescent="0.3">
      <c r="A38" s="27">
        <v>37</v>
      </c>
      <c r="B38" s="147" t="s">
        <v>214</v>
      </c>
      <c r="C38" s="147"/>
      <c r="D38" s="147"/>
      <c r="E38" s="147"/>
      <c r="F38" s="156">
        <v>1.1200000000000001</v>
      </c>
      <c r="G38" s="156"/>
      <c r="H38" s="156"/>
      <c r="I38" s="33"/>
      <c r="J38" s="33"/>
      <c r="K38" s="33"/>
    </row>
    <row r="39" spans="1:11" ht="15.75" customHeight="1" x14ac:dyDescent="0.3">
      <c r="A39" s="27">
        <v>38</v>
      </c>
      <c r="B39" s="148" t="s">
        <v>19</v>
      </c>
      <c r="C39" s="148"/>
      <c r="D39" s="148"/>
      <c r="E39" s="148"/>
      <c r="F39" s="148"/>
      <c r="G39" s="148"/>
      <c r="H39" s="148"/>
      <c r="I39" s="33"/>
      <c r="J39" s="33"/>
      <c r="K39" s="33"/>
    </row>
    <row r="40" spans="1:11" ht="15.6" x14ac:dyDescent="0.3">
      <c r="A40" s="27">
        <v>39</v>
      </c>
      <c r="B40" s="147" t="s">
        <v>20</v>
      </c>
      <c r="C40" s="147"/>
      <c r="D40" s="147"/>
      <c r="E40" s="147"/>
      <c r="F40" s="157">
        <v>1.3</v>
      </c>
      <c r="G40" s="157"/>
      <c r="H40" s="157"/>
      <c r="I40" s="33"/>
      <c r="J40" s="33"/>
      <c r="K40" s="33"/>
    </row>
    <row r="41" spans="1:11" ht="15.6" x14ac:dyDescent="0.3">
      <c r="A41" s="27">
        <v>40</v>
      </c>
      <c r="B41" s="147" t="s">
        <v>71</v>
      </c>
      <c r="C41" s="147"/>
      <c r="D41" s="147"/>
      <c r="E41" s="147"/>
      <c r="F41" s="157">
        <v>84</v>
      </c>
      <c r="G41" s="157"/>
      <c r="H41" s="157"/>
      <c r="I41" s="33"/>
      <c r="J41" s="33"/>
      <c r="K41" s="33"/>
    </row>
    <row r="42" spans="1:11" ht="15.6" x14ac:dyDescent="0.3">
      <c r="A42" s="27">
        <v>41</v>
      </c>
      <c r="B42" s="147" t="s">
        <v>87</v>
      </c>
      <c r="C42" s="147"/>
      <c r="D42" s="147"/>
      <c r="E42" s="147"/>
      <c r="F42" s="153">
        <f>F40*F41/100</f>
        <v>1.0920000000000001</v>
      </c>
      <c r="G42" s="153"/>
      <c r="H42" s="153"/>
      <c r="I42" s="31"/>
      <c r="J42" s="31"/>
      <c r="K42" s="31"/>
    </row>
    <row r="43" spans="1:11" ht="15.6" x14ac:dyDescent="0.3">
      <c r="A43" s="27">
        <v>42</v>
      </c>
      <c r="B43" s="112" t="s">
        <v>23</v>
      </c>
      <c r="C43" s="112"/>
      <c r="D43" s="112"/>
      <c r="E43" s="112"/>
      <c r="F43" s="113" t="str">
        <f>IF(F20&lt;F33, "Соответствует", "Не соотвествует")</f>
        <v>Соответствует</v>
      </c>
      <c r="G43" s="113"/>
      <c r="H43" s="113"/>
    </row>
    <row r="44" spans="1:11" x14ac:dyDescent="0.3">
      <c r="E44" s="114" t="s">
        <v>98</v>
      </c>
      <c r="F44" s="114"/>
      <c r="G44" s="114"/>
      <c r="H44" s="114"/>
      <c r="I44" s="114"/>
    </row>
  </sheetData>
  <mergeCells count="81">
    <mergeCell ref="B4:C4"/>
    <mergeCell ref="E4:F4"/>
    <mergeCell ref="G4:H4"/>
    <mergeCell ref="B2:E2"/>
    <mergeCell ref="G2:H2"/>
    <mergeCell ref="B3:C3"/>
    <mergeCell ref="E3:F3"/>
    <mergeCell ref="G3:H3"/>
    <mergeCell ref="B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F26:H26"/>
    <mergeCell ref="B27:E27"/>
    <mergeCell ref="F27:H27"/>
    <mergeCell ref="B28:E28"/>
    <mergeCell ref="F28:H28"/>
    <mergeCell ref="B29:E29"/>
    <mergeCell ref="F29:H29"/>
    <mergeCell ref="B35:E35"/>
    <mergeCell ref="F35:H35"/>
    <mergeCell ref="B30:C30"/>
    <mergeCell ref="D30:E30"/>
    <mergeCell ref="F30:H30"/>
    <mergeCell ref="B31:C31"/>
    <mergeCell ref="D31:E31"/>
    <mergeCell ref="F31:H31"/>
    <mergeCell ref="B32:H32"/>
    <mergeCell ref="B33:E33"/>
    <mergeCell ref="F33:H33"/>
    <mergeCell ref="B34:E34"/>
    <mergeCell ref="F34:H34"/>
    <mergeCell ref="B36:E36"/>
    <mergeCell ref="F36:H36"/>
    <mergeCell ref="B37:E37"/>
    <mergeCell ref="F37:H37"/>
    <mergeCell ref="B38:E38"/>
    <mergeCell ref="F38:H38"/>
    <mergeCell ref="B43:E43"/>
    <mergeCell ref="F43:H43"/>
    <mergeCell ref="E44:I44"/>
    <mergeCell ref="B39:H39"/>
    <mergeCell ref="B40:E40"/>
    <mergeCell ref="F40:H40"/>
    <mergeCell ref="B41:E41"/>
    <mergeCell ref="F41:H41"/>
    <mergeCell ref="B42:E42"/>
    <mergeCell ref="F42:H4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CAD9-1789-4D6D-B9D5-91FE99267903}">
  <dimension ref="A1:I50"/>
  <sheetViews>
    <sheetView workbookViewId="0">
      <selection activeCell="J54" sqref="J54"/>
    </sheetView>
  </sheetViews>
  <sheetFormatPr defaultRowHeight="14.4" x14ac:dyDescent="0.3"/>
  <cols>
    <col min="1" max="1" width="4.77734375" customWidth="1"/>
    <col min="2" max="2" width="26.44140625" customWidth="1"/>
    <col min="3" max="3" width="24.109375" customWidth="1"/>
    <col min="4" max="4" width="14" customWidth="1"/>
    <col min="5" max="5" width="13.77734375" customWidth="1"/>
    <col min="6" max="6" width="11.33203125" customWidth="1"/>
    <col min="7" max="7" width="12" customWidth="1"/>
  </cols>
  <sheetData>
    <row r="1" spans="1:7" x14ac:dyDescent="0.3">
      <c r="B1" s="28" t="s">
        <v>54</v>
      </c>
      <c r="C1" s="28" t="s">
        <v>55</v>
      </c>
      <c r="D1" s="28" t="s">
        <v>56</v>
      </c>
      <c r="E1" s="28" t="s">
        <v>57</v>
      </c>
      <c r="F1" s="42"/>
    </row>
    <row r="2" spans="1:7" ht="15.6" x14ac:dyDescent="0.3">
      <c r="A2" s="27">
        <v>1</v>
      </c>
      <c r="B2" s="138" t="s">
        <v>88</v>
      </c>
      <c r="C2" s="138"/>
      <c r="D2" s="138"/>
      <c r="E2" s="138"/>
      <c r="F2" s="42"/>
    </row>
    <row r="3" spans="1:7" ht="15.6" x14ac:dyDescent="0.3">
      <c r="A3" s="27">
        <v>2</v>
      </c>
      <c r="B3" s="41" t="s">
        <v>36</v>
      </c>
      <c r="C3" s="139" t="s">
        <v>37</v>
      </c>
      <c r="D3" s="140"/>
      <c r="E3" s="141"/>
      <c r="F3" s="1"/>
    </row>
    <row r="4" spans="1:7" ht="15.6" x14ac:dyDescent="0.3">
      <c r="A4" s="27">
        <v>3</v>
      </c>
      <c r="B4" s="40" t="s">
        <v>38</v>
      </c>
      <c r="C4" s="142">
        <v>35106210</v>
      </c>
      <c r="D4" s="143"/>
      <c r="E4" s="144"/>
      <c r="F4" s="1"/>
    </row>
    <row r="5" spans="1:7" ht="15.6" x14ac:dyDescent="0.3">
      <c r="A5" s="27">
        <v>4</v>
      </c>
      <c r="B5" s="25" t="s">
        <v>89</v>
      </c>
      <c r="C5" s="128"/>
      <c r="D5" s="128"/>
      <c r="E5" s="128"/>
      <c r="F5" s="1"/>
    </row>
    <row r="6" spans="1:7" ht="15.6" x14ac:dyDescent="0.3">
      <c r="A6" s="27">
        <v>5</v>
      </c>
      <c r="B6" s="7"/>
      <c r="C6" s="7"/>
      <c r="D6" s="7"/>
      <c r="E6" s="7"/>
      <c r="F6" s="1"/>
    </row>
    <row r="7" spans="1:7" ht="15.6" x14ac:dyDescent="0.3">
      <c r="A7" s="27">
        <v>6</v>
      </c>
      <c r="B7" s="10" t="s">
        <v>39</v>
      </c>
      <c r="C7" s="10"/>
      <c r="D7" s="10"/>
      <c r="E7" s="10"/>
      <c r="F7" s="1"/>
    </row>
    <row r="8" spans="1:7" ht="15.6" x14ac:dyDescent="0.3">
      <c r="A8" s="27">
        <v>7</v>
      </c>
      <c r="B8" s="43" t="s">
        <v>28</v>
      </c>
      <c r="C8" s="44"/>
      <c r="D8" s="45" t="s">
        <v>26</v>
      </c>
      <c r="E8" s="45" t="s">
        <v>27</v>
      </c>
      <c r="F8" s="1"/>
    </row>
    <row r="9" spans="1:7" ht="15.6" x14ac:dyDescent="0.3">
      <c r="A9" s="27">
        <v>8</v>
      </c>
      <c r="B9" s="129" t="s">
        <v>91</v>
      </c>
      <c r="C9" s="130"/>
      <c r="D9" s="46">
        <v>36.299999999999997</v>
      </c>
      <c r="E9" s="47">
        <v>70.400000000000006</v>
      </c>
      <c r="F9" s="1"/>
    </row>
    <row r="10" spans="1:7" ht="15.6" x14ac:dyDescent="0.3">
      <c r="A10" s="27">
        <v>9</v>
      </c>
      <c r="B10" s="48" t="s">
        <v>40</v>
      </c>
      <c r="C10" s="45" t="s">
        <v>41</v>
      </c>
      <c r="D10" s="46">
        <v>25.4</v>
      </c>
      <c r="E10" s="47">
        <v>49.2</v>
      </c>
      <c r="F10" s="1"/>
    </row>
    <row r="11" spans="1:7" ht="15.6" x14ac:dyDescent="0.3">
      <c r="A11" s="27">
        <v>10</v>
      </c>
      <c r="B11" s="49"/>
      <c r="C11" s="45" t="s">
        <v>42</v>
      </c>
      <c r="D11" s="46">
        <v>47.1</v>
      </c>
      <c r="E11" s="47">
        <v>91.5</v>
      </c>
      <c r="F11" s="1"/>
    </row>
    <row r="12" spans="1:7" ht="15.6" x14ac:dyDescent="0.3">
      <c r="A12" s="27">
        <v>11</v>
      </c>
      <c r="B12" s="129" t="s">
        <v>43</v>
      </c>
      <c r="C12" s="130"/>
      <c r="D12" s="50">
        <f>(D9-D10)/3</f>
        <v>3.6333333333333329</v>
      </c>
      <c r="E12" s="50">
        <f>(E9-E10)/3</f>
        <v>7.0666666666666673</v>
      </c>
      <c r="F12" s="1"/>
    </row>
    <row r="13" spans="1:7" ht="15.6" x14ac:dyDescent="0.3">
      <c r="A13" s="27">
        <v>13</v>
      </c>
      <c r="B13" s="7"/>
      <c r="C13" s="7"/>
      <c r="D13" s="7"/>
      <c r="E13" s="7"/>
      <c r="F13" s="1"/>
    </row>
    <row r="14" spans="1:7" ht="30.6" customHeight="1" x14ac:dyDescent="0.3">
      <c r="A14" s="27">
        <v>14</v>
      </c>
      <c r="B14" s="125" t="s">
        <v>24</v>
      </c>
      <c r="C14" s="126"/>
      <c r="D14" s="126"/>
      <c r="E14" s="127"/>
      <c r="F14" s="145" t="s">
        <v>102</v>
      </c>
      <c r="G14" s="146"/>
    </row>
    <row r="15" spans="1:7" ht="15.6" x14ac:dyDescent="0.3">
      <c r="A15" s="27">
        <v>15</v>
      </c>
      <c r="B15" s="12" t="s">
        <v>25</v>
      </c>
      <c r="C15" s="12" t="s">
        <v>6</v>
      </c>
      <c r="D15" s="12" t="s">
        <v>26</v>
      </c>
      <c r="E15" s="12" t="s">
        <v>27</v>
      </c>
      <c r="F15" s="53" t="s">
        <v>26</v>
      </c>
      <c r="G15" s="53" t="s">
        <v>27</v>
      </c>
    </row>
    <row r="16" spans="1:7" ht="15.6" x14ac:dyDescent="0.3">
      <c r="A16" s="27">
        <v>16</v>
      </c>
      <c r="B16" s="13">
        <v>1</v>
      </c>
      <c r="C16" s="14">
        <v>44679</v>
      </c>
      <c r="D16" s="15">
        <v>33.76</v>
      </c>
      <c r="E16" s="76">
        <v>83</v>
      </c>
      <c r="F16" s="11" t="str">
        <f t="shared" ref="F16:F30" si="0">IF(AND(D16&gt;$D$36, D16&lt;$D$37),"ОК","выброс")</f>
        <v>ОК</v>
      </c>
      <c r="G16" s="11" t="str">
        <f>IF(AND(E16&gt;$E$36, E16&lt;$E$37),"ОК","выброс")</f>
        <v>ОК</v>
      </c>
    </row>
    <row r="17" spans="1:9" ht="15.6" x14ac:dyDescent="0.3">
      <c r="A17" s="27">
        <v>17</v>
      </c>
      <c r="B17" s="13">
        <v>2</v>
      </c>
      <c r="C17" s="14">
        <v>44680</v>
      </c>
      <c r="D17" s="15">
        <v>39.42</v>
      </c>
      <c r="E17" s="76">
        <v>83</v>
      </c>
      <c r="F17" s="11" t="str">
        <f t="shared" si="0"/>
        <v>ОК</v>
      </c>
      <c r="G17" s="11" t="str">
        <f t="shared" ref="G17:G30" si="1">IF(AND(E17&gt;$E$36, E17&lt;$E$37),"ОК","выброс")</f>
        <v>ОК</v>
      </c>
    </row>
    <row r="18" spans="1:9" ht="15.6" x14ac:dyDescent="0.3">
      <c r="A18" s="27">
        <v>18</v>
      </c>
      <c r="B18" s="13">
        <v>3</v>
      </c>
      <c r="C18" s="14">
        <v>44681</v>
      </c>
      <c r="D18" s="15">
        <v>46.65</v>
      </c>
      <c r="E18" s="76">
        <v>82</v>
      </c>
      <c r="F18" s="11" t="str">
        <f t="shared" si="0"/>
        <v>ОК</v>
      </c>
      <c r="G18" s="11" t="str">
        <f t="shared" si="1"/>
        <v>ОК</v>
      </c>
    </row>
    <row r="19" spans="1:9" ht="15.6" x14ac:dyDescent="0.3">
      <c r="A19" s="27">
        <v>19</v>
      </c>
      <c r="B19" s="13">
        <v>4</v>
      </c>
      <c r="C19" s="14">
        <v>44683</v>
      </c>
      <c r="D19" s="15">
        <v>44.21</v>
      </c>
      <c r="E19" s="76">
        <v>84</v>
      </c>
      <c r="F19" s="11" t="str">
        <f t="shared" si="0"/>
        <v>ОК</v>
      </c>
      <c r="G19" s="11" t="str">
        <f t="shared" si="1"/>
        <v>ОК</v>
      </c>
    </row>
    <row r="20" spans="1:9" ht="15.6" x14ac:dyDescent="0.3">
      <c r="A20" s="27">
        <v>20</v>
      </c>
      <c r="B20" s="13">
        <v>5</v>
      </c>
      <c r="C20" s="14">
        <v>44684</v>
      </c>
      <c r="D20" s="15">
        <v>43.11</v>
      </c>
      <c r="E20" s="76">
        <v>84</v>
      </c>
      <c r="F20" s="11" t="str">
        <f t="shared" si="0"/>
        <v>ОК</v>
      </c>
      <c r="G20" s="11" t="str">
        <f t="shared" si="1"/>
        <v>ОК</v>
      </c>
    </row>
    <row r="21" spans="1:9" ht="15.6" x14ac:dyDescent="0.3">
      <c r="A21" s="27">
        <v>21</v>
      </c>
      <c r="B21" s="13">
        <v>6</v>
      </c>
      <c r="C21" s="14">
        <v>44685</v>
      </c>
      <c r="D21" s="15">
        <v>44.78</v>
      </c>
      <c r="E21" s="74">
        <v>83</v>
      </c>
      <c r="F21" s="11" t="str">
        <f t="shared" si="0"/>
        <v>ОК</v>
      </c>
      <c r="G21" s="11" t="str">
        <f t="shared" si="1"/>
        <v>ОК</v>
      </c>
    </row>
    <row r="22" spans="1:9" ht="15.6" x14ac:dyDescent="0.3">
      <c r="A22" s="27">
        <v>22</v>
      </c>
      <c r="B22" s="13">
        <v>7</v>
      </c>
      <c r="C22" s="14">
        <v>44686</v>
      </c>
      <c r="D22" s="15">
        <v>52.17</v>
      </c>
      <c r="E22" s="74">
        <v>83</v>
      </c>
      <c r="F22" s="11" t="str">
        <f t="shared" si="0"/>
        <v>выброс</v>
      </c>
      <c r="G22" s="11" t="str">
        <f t="shared" si="1"/>
        <v>ОК</v>
      </c>
    </row>
    <row r="23" spans="1:9" ht="15.6" x14ac:dyDescent="0.3">
      <c r="A23" s="27">
        <v>23</v>
      </c>
      <c r="B23" s="13">
        <v>8</v>
      </c>
      <c r="C23" s="14">
        <v>44687</v>
      </c>
      <c r="D23" s="15">
        <v>55.02</v>
      </c>
      <c r="E23" s="74">
        <v>84</v>
      </c>
      <c r="F23" s="11" t="str">
        <f t="shared" si="0"/>
        <v>выброс</v>
      </c>
      <c r="G23" s="11" t="str">
        <f t="shared" si="1"/>
        <v>ОК</v>
      </c>
    </row>
    <row r="24" spans="1:9" ht="15.6" x14ac:dyDescent="0.3">
      <c r="A24" s="27">
        <v>24</v>
      </c>
      <c r="B24" s="13">
        <v>9</v>
      </c>
      <c r="C24" s="14">
        <v>44688</v>
      </c>
      <c r="D24" s="15">
        <v>37.56</v>
      </c>
      <c r="E24" s="74">
        <v>84</v>
      </c>
      <c r="F24" s="11" t="str">
        <f t="shared" si="0"/>
        <v>ОК</v>
      </c>
      <c r="G24" s="11" t="str">
        <f t="shared" si="1"/>
        <v>ОК</v>
      </c>
    </row>
    <row r="25" spans="1:9" ht="15.6" x14ac:dyDescent="0.3">
      <c r="A25" s="27">
        <v>25</v>
      </c>
      <c r="B25" s="13">
        <v>10</v>
      </c>
      <c r="C25" s="14">
        <v>44689</v>
      </c>
      <c r="D25" s="15">
        <v>41.76</v>
      </c>
      <c r="E25" s="74">
        <v>84</v>
      </c>
      <c r="F25" s="11" t="str">
        <f t="shared" si="0"/>
        <v>ОК</v>
      </c>
      <c r="G25" s="11" t="str">
        <f t="shared" si="1"/>
        <v>ОК</v>
      </c>
    </row>
    <row r="26" spans="1:9" ht="15.6" x14ac:dyDescent="0.3">
      <c r="A26" s="27">
        <v>26</v>
      </c>
      <c r="B26" s="13">
        <v>11</v>
      </c>
      <c r="C26" s="14">
        <v>44690</v>
      </c>
      <c r="D26" s="16">
        <v>37.83</v>
      </c>
      <c r="E26" s="74">
        <v>82</v>
      </c>
      <c r="F26" s="11" t="str">
        <f t="shared" si="0"/>
        <v>ОК</v>
      </c>
      <c r="G26" s="11" t="str">
        <f t="shared" si="1"/>
        <v>ОК</v>
      </c>
    </row>
    <row r="27" spans="1:9" ht="15.6" x14ac:dyDescent="0.3">
      <c r="A27" s="27">
        <v>27</v>
      </c>
      <c r="B27" s="13">
        <v>12</v>
      </c>
      <c r="C27" s="14">
        <v>44691</v>
      </c>
      <c r="D27" s="16">
        <v>34.75</v>
      </c>
      <c r="E27" s="74">
        <v>84</v>
      </c>
      <c r="F27" s="11" t="str">
        <f t="shared" si="0"/>
        <v>ОК</v>
      </c>
      <c r="G27" s="11" t="str">
        <f t="shared" si="1"/>
        <v>ОК</v>
      </c>
    </row>
    <row r="28" spans="1:9" ht="15.6" x14ac:dyDescent="0.3">
      <c r="A28" s="27">
        <v>28</v>
      </c>
      <c r="B28" s="13">
        <v>13</v>
      </c>
      <c r="C28" s="14">
        <v>44692</v>
      </c>
      <c r="D28" s="16">
        <v>34.729999999999997</v>
      </c>
      <c r="E28" s="74">
        <v>84</v>
      </c>
      <c r="F28" s="11" t="str">
        <f t="shared" si="0"/>
        <v>ОК</v>
      </c>
      <c r="G28" s="11" t="str">
        <f t="shared" si="1"/>
        <v>ОК</v>
      </c>
    </row>
    <row r="29" spans="1:9" ht="15.6" x14ac:dyDescent="0.3">
      <c r="A29" s="27">
        <v>29</v>
      </c>
      <c r="B29" s="17">
        <v>14</v>
      </c>
      <c r="C29" s="14">
        <v>44693</v>
      </c>
      <c r="D29" s="16">
        <v>33.04</v>
      </c>
      <c r="E29" s="74">
        <v>84</v>
      </c>
      <c r="F29" s="11" t="str">
        <f t="shared" si="0"/>
        <v>ОК</v>
      </c>
      <c r="G29" s="11" t="str">
        <f t="shared" si="1"/>
        <v>ОК</v>
      </c>
    </row>
    <row r="30" spans="1:9" ht="15.6" x14ac:dyDescent="0.3">
      <c r="A30" s="27">
        <v>30</v>
      </c>
      <c r="B30" s="20">
        <v>15</v>
      </c>
      <c r="C30" s="21">
        <v>44694</v>
      </c>
      <c r="D30" s="22">
        <v>32.11</v>
      </c>
      <c r="E30" s="75">
        <v>84</v>
      </c>
      <c r="F30" s="11" t="str">
        <f t="shared" si="0"/>
        <v>ОК</v>
      </c>
      <c r="G30" s="11" t="str">
        <f t="shared" si="1"/>
        <v>ОК</v>
      </c>
    </row>
    <row r="31" spans="1:9" ht="15.6" x14ac:dyDescent="0.3">
      <c r="A31" s="27">
        <v>31</v>
      </c>
      <c r="B31" s="8" t="s">
        <v>29</v>
      </c>
      <c r="C31" s="2" t="s">
        <v>90</v>
      </c>
      <c r="D31" s="23">
        <f>AVERAGE(D16:D30)</f>
        <v>40.726666666666667</v>
      </c>
      <c r="E31" s="23">
        <f>AVERAGE(E16:E30)</f>
        <v>83.466666666666669</v>
      </c>
      <c r="F31" s="7"/>
    </row>
    <row r="32" spans="1:9" ht="15.6" x14ac:dyDescent="0.3">
      <c r="A32" s="27">
        <v>32</v>
      </c>
      <c r="B32" s="8" t="s">
        <v>32</v>
      </c>
      <c r="C32" s="2" t="s">
        <v>92</v>
      </c>
      <c r="D32" s="23">
        <f>D9</f>
        <v>36.299999999999997</v>
      </c>
      <c r="E32" s="23">
        <f>E9</f>
        <v>70.400000000000006</v>
      </c>
      <c r="F32" s="51"/>
      <c r="G32" s="7"/>
      <c r="H32" s="7"/>
      <c r="I32" s="7"/>
    </row>
    <row r="33" spans="1:9" ht="15.6" x14ac:dyDescent="0.3">
      <c r="A33" s="27">
        <v>33</v>
      </c>
      <c r="B33" s="8" t="s">
        <v>30</v>
      </c>
      <c r="C33" s="2" t="s">
        <v>93</v>
      </c>
      <c r="D33" s="23">
        <f>D31-D32</f>
        <v>4.4266666666666694</v>
      </c>
      <c r="E33" s="23">
        <f>E31-E32</f>
        <v>13.066666666666663</v>
      </c>
      <c r="F33" s="51"/>
      <c r="G33" s="7"/>
      <c r="H33" s="7"/>
      <c r="I33" s="7"/>
    </row>
    <row r="34" spans="1:9" ht="15.6" customHeight="1" x14ac:dyDescent="0.3">
      <c r="A34" s="27">
        <v>34</v>
      </c>
      <c r="B34" s="136" t="s">
        <v>21</v>
      </c>
      <c r="C34" s="136"/>
      <c r="D34" s="136"/>
      <c r="E34" s="137"/>
      <c r="F34" s="51"/>
      <c r="G34" s="7"/>
      <c r="H34" s="7"/>
      <c r="I34" s="7"/>
    </row>
    <row r="35" spans="1:9" ht="45" customHeight="1" x14ac:dyDescent="0.3">
      <c r="A35" s="27">
        <v>35</v>
      </c>
      <c r="B35" s="124" t="s">
        <v>99</v>
      </c>
      <c r="C35" s="124"/>
      <c r="D35" s="134">
        <v>2.806</v>
      </c>
      <c r="E35" s="135"/>
      <c r="F35" s="51"/>
      <c r="G35" s="7"/>
      <c r="H35" s="7"/>
    </row>
    <row r="36" spans="1:9" ht="15.6" customHeight="1" x14ac:dyDescent="0.3">
      <c r="A36" s="27">
        <v>36</v>
      </c>
      <c r="B36" s="133" t="s">
        <v>100</v>
      </c>
      <c r="C36" s="133"/>
      <c r="D36" s="26">
        <f>D31-D35*D12</f>
        <v>30.531533333333336</v>
      </c>
      <c r="E36" s="26">
        <f>E31-D35*E12</f>
        <v>63.637599999999999</v>
      </c>
      <c r="F36" s="51"/>
      <c r="G36" s="7"/>
      <c r="H36" s="7"/>
    </row>
    <row r="37" spans="1:9" ht="15.6" customHeight="1" x14ac:dyDescent="0.3">
      <c r="A37" s="27">
        <v>37</v>
      </c>
      <c r="B37" s="133" t="s">
        <v>101</v>
      </c>
      <c r="C37" s="133"/>
      <c r="D37" s="26">
        <f>D31+D35*D12</f>
        <v>50.921799999999998</v>
      </c>
      <c r="E37" s="26">
        <f>E31+D35*E12</f>
        <v>103.29573333333335</v>
      </c>
      <c r="F37" s="7"/>
      <c r="G37" s="7"/>
      <c r="H37" s="7"/>
    </row>
    <row r="38" spans="1:9" s="1" customFormat="1" ht="15.6" customHeight="1" x14ac:dyDescent="0.3">
      <c r="A38" s="2">
        <v>38</v>
      </c>
    </row>
    <row r="39" spans="1:9" x14ac:dyDescent="0.3">
      <c r="A39" s="27">
        <v>39</v>
      </c>
      <c r="B39" s="131" t="s">
        <v>103</v>
      </c>
      <c r="C39" s="132"/>
      <c r="D39" s="132"/>
      <c r="E39" s="132"/>
    </row>
    <row r="40" spans="1:9" ht="15.6" x14ac:dyDescent="0.3">
      <c r="A40" s="27">
        <v>41</v>
      </c>
      <c r="B40" s="9" t="s">
        <v>31</v>
      </c>
      <c r="C40" s="2" t="s">
        <v>94</v>
      </c>
      <c r="D40" s="23">
        <f>STDEV(D16:D30)</f>
        <v>6.9658295236375922</v>
      </c>
      <c r="E40" s="23">
        <f>STDEV(E16:E30)</f>
        <v>0.74322335295720654</v>
      </c>
      <c r="F40" s="18"/>
    </row>
    <row r="41" spans="1:9" ht="15.6" x14ac:dyDescent="0.3">
      <c r="A41" s="27">
        <v>42</v>
      </c>
      <c r="B41" s="66" t="s">
        <v>53</v>
      </c>
      <c r="C41" s="2" t="s">
        <v>95</v>
      </c>
      <c r="D41" s="23">
        <f>D40/SQRT(B30)</f>
        <v>1.7985694491712225</v>
      </c>
      <c r="E41" s="23">
        <f>E40/SQRT(B30)</f>
        <v>0.19189944456771318</v>
      </c>
      <c r="F41" s="7"/>
    </row>
    <row r="42" spans="1:9" ht="15.6" x14ac:dyDescent="0.3">
      <c r="A42" s="27">
        <v>43</v>
      </c>
      <c r="B42" s="66" t="s">
        <v>96</v>
      </c>
      <c r="C42" s="2" t="s">
        <v>97</v>
      </c>
      <c r="D42" s="23">
        <f>D12</f>
        <v>3.6333333333333329</v>
      </c>
      <c r="E42" s="23">
        <f>E12</f>
        <v>7.0666666666666673</v>
      </c>
      <c r="F42" s="7"/>
    </row>
    <row r="43" spans="1:9" ht="31.2" x14ac:dyDescent="0.3">
      <c r="A43" s="27">
        <v>44</v>
      </c>
      <c r="B43" s="66" t="s">
        <v>33</v>
      </c>
      <c r="C43" s="2" t="s">
        <v>105</v>
      </c>
      <c r="D43" s="24">
        <f>SQRT(SUMSQ(D40:D42))</f>
        <v>8.0596987615533315</v>
      </c>
      <c r="E43" s="24">
        <f>SQRT(SUMSQ(E40:E42))</f>
        <v>7.1082335447693428</v>
      </c>
      <c r="F43" s="7"/>
      <c r="G43" s="7"/>
    </row>
    <row r="44" spans="1:9" ht="15.6" x14ac:dyDescent="0.3">
      <c r="A44" s="27">
        <v>45</v>
      </c>
      <c r="B44" s="11" t="s">
        <v>34</v>
      </c>
      <c r="C44" s="19"/>
      <c r="D44" s="68">
        <f>Прецизионность!F15</f>
        <v>0.63245553203367588</v>
      </c>
      <c r="E44" s="69">
        <v>0.63200000000000001</v>
      </c>
      <c r="F44" s="7"/>
      <c r="G44" s="7"/>
    </row>
    <row r="45" spans="1:9" ht="15.6" x14ac:dyDescent="0.3">
      <c r="A45" s="27">
        <v>47</v>
      </c>
      <c r="B45" s="67" t="s">
        <v>139</v>
      </c>
      <c r="C45" s="11" t="s">
        <v>138</v>
      </c>
      <c r="D45" s="68">
        <f>SQRT(D43^2+D44^2)</f>
        <v>8.0844755010442277</v>
      </c>
      <c r="E45" s="68">
        <f>SQRT(E43^2+E44^2)</f>
        <v>7.1362741067719746</v>
      </c>
      <c r="F45" s="7"/>
      <c r="G45" s="7"/>
    </row>
    <row r="46" spans="1:9" ht="15.6" x14ac:dyDescent="0.3">
      <c r="A46" s="27">
        <v>48</v>
      </c>
      <c r="B46" s="73" t="s">
        <v>140</v>
      </c>
      <c r="C46" s="2" t="s">
        <v>138</v>
      </c>
      <c r="D46" s="70">
        <f>2*D45</f>
        <v>16.168951002088455</v>
      </c>
      <c r="E46" s="70">
        <f>2*E45</f>
        <v>14.272548213543949</v>
      </c>
      <c r="F46" s="7"/>
      <c r="G46" s="7"/>
    </row>
    <row r="47" spans="1:9" ht="15.6" x14ac:dyDescent="0.3">
      <c r="A47" s="71">
        <v>49</v>
      </c>
      <c r="B47" s="73" t="s">
        <v>140</v>
      </c>
      <c r="C47" s="2" t="s">
        <v>141</v>
      </c>
      <c r="D47" s="70">
        <f>D46/D31*100</f>
        <v>39.701140126260739</v>
      </c>
      <c r="E47" s="70">
        <f>E46/E31*100</f>
        <v>17.099698338910482</v>
      </c>
      <c r="F47" s="7"/>
      <c r="G47" s="7"/>
    </row>
    <row r="48" spans="1:9" ht="14.4" customHeight="1" x14ac:dyDescent="0.3">
      <c r="F48" s="7"/>
      <c r="G48" s="7"/>
    </row>
    <row r="49" spans="6:7" ht="14.4" customHeight="1" x14ac:dyDescent="0.3">
      <c r="F49" s="7"/>
      <c r="G49" s="7"/>
    </row>
    <row r="50" spans="6:7" ht="14.4" customHeight="1" x14ac:dyDescent="0.3">
      <c r="F50" s="7"/>
      <c r="G50" s="7"/>
    </row>
  </sheetData>
  <mergeCells count="14">
    <mergeCell ref="B2:E2"/>
    <mergeCell ref="C3:E3"/>
    <mergeCell ref="C4:E4"/>
    <mergeCell ref="B12:C12"/>
    <mergeCell ref="F14:G14"/>
    <mergeCell ref="B35:C35"/>
    <mergeCell ref="B14:E14"/>
    <mergeCell ref="C5:E5"/>
    <mergeCell ref="B9:C9"/>
    <mergeCell ref="B39:E39"/>
    <mergeCell ref="B36:C36"/>
    <mergeCell ref="B37:C37"/>
    <mergeCell ref="D35:E35"/>
    <mergeCell ref="B34:E3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8390-B4DB-4398-82B0-6EF34F5AABC9}">
  <dimension ref="A1:N43"/>
  <sheetViews>
    <sheetView workbookViewId="0">
      <selection activeCell="M32" sqref="M32"/>
    </sheetView>
  </sheetViews>
  <sheetFormatPr defaultRowHeight="14.4" x14ac:dyDescent="0.3"/>
  <cols>
    <col min="1" max="1" width="8.88671875" style="77"/>
    <col min="2" max="2" width="12.5546875" style="77" customWidth="1"/>
    <col min="3" max="5" width="8.88671875" style="77"/>
    <col min="6" max="6" width="12.44140625" style="77" customWidth="1"/>
    <col min="7" max="7" width="12.6640625" style="77" customWidth="1"/>
    <col min="8" max="8" width="13.6640625" style="77" customWidth="1"/>
    <col min="9" max="9" width="12.6640625" style="77" customWidth="1"/>
    <col min="10" max="10" width="16.6640625" style="77" customWidth="1"/>
    <col min="11" max="11" width="10.88671875" style="77" customWidth="1"/>
    <col min="12" max="12" width="14.5546875" style="77" customWidth="1"/>
    <col min="13" max="16384" width="8.88671875" style="77"/>
  </cols>
  <sheetData>
    <row r="1" spans="1:14" x14ac:dyDescent="0.3">
      <c r="A1" s="77" t="s">
        <v>144</v>
      </c>
    </row>
    <row r="7" spans="1:14" x14ac:dyDescent="0.3">
      <c r="F7" s="77" t="s">
        <v>179</v>
      </c>
      <c r="K7" s="77" t="s">
        <v>184</v>
      </c>
    </row>
    <row r="8" spans="1:14" x14ac:dyDescent="0.3">
      <c r="A8" s="77" t="s">
        <v>145</v>
      </c>
      <c r="H8" s="77" t="s">
        <v>189</v>
      </c>
    </row>
    <row r="9" spans="1:14" x14ac:dyDescent="0.3">
      <c r="A9" s="78" t="s">
        <v>181</v>
      </c>
      <c r="B9" s="78" t="s">
        <v>182</v>
      </c>
      <c r="F9" s="88" t="s">
        <v>180</v>
      </c>
      <c r="G9" s="88" t="s">
        <v>182</v>
      </c>
      <c r="H9" s="88" t="s">
        <v>183</v>
      </c>
      <c r="K9" s="77" t="s">
        <v>186</v>
      </c>
      <c r="L9" s="80">
        <v>37.055999999999997</v>
      </c>
      <c r="M9" s="80">
        <v>40.323999999999998</v>
      </c>
    </row>
    <row r="10" spans="1:14" x14ac:dyDescent="0.3">
      <c r="A10" s="79" t="s">
        <v>146</v>
      </c>
      <c r="B10" s="79">
        <v>40.22</v>
      </c>
      <c r="F10" s="86">
        <v>1</v>
      </c>
      <c r="G10" s="87">
        <v>40.229999999999997</v>
      </c>
      <c r="H10" s="77">
        <f t="shared" ref="H10:H24" si="0">(G10-$K$13)</f>
        <v>3.9999999999999147E-2</v>
      </c>
      <c r="K10" s="90" t="s">
        <v>187</v>
      </c>
      <c r="L10" s="80">
        <v>2</v>
      </c>
    </row>
    <row r="11" spans="1:14" x14ac:dyDescent="0.3">
      <c r="A11" s="79" t="s">
        <v>147</v>
      </c>
      <c r="B11" s="79">
        <v>40.229999999999997</v>
      </c>
      <c r="F11" s="79">
        <v>2</v>
      </c>
      <c r="G11" s="80">
        <v>40.11</v>
      </c>
      <c r="H11" s="77">
        <f t="shared" si="0"/>
        <v>-7.9999999999998295E-2</v>
      </c>
    </row>
    <row r="12" spans="1:14" x14ac:dyDescent="0.3">
      <c r="A12" s="79" t="s">
        <v>148</v>
      </c>
      <c r="B12" s="79">
        <v>40</v>
      </c>
      <c r="F12" s="79">
        <v>3</v>
      </c>
      <c r="G12" s="80">
        <v>40.19</v>
      </c>
      <c r="H12" s="77">
        <f t="shared" si="0"/>
        <v>0</v>
      </c>
      <c r="K12" s="77" t="s">
        <v>188</v>
      </c>
      <c r="M12" s="77" t="s">
        <v>35</v>
      </c>
    </row>
    <row r="13" spans="1:14" x14ac:dyDescent="0.3">
      <c r="A13" s="79" t="s">
        <v>149</v>
      </c>
      <c r="B13" s="79">
        <v>40.22</v>
      </c>
      <c r="F13" s="79">
        <v>4</v>
      </c>
      <c r="G13" s="80">
        <v>40.19</v>
      </c>
      <c r="H13" s="77">
        <f t="shared" si="0"/>
        <v>0</v>
      </c>
      <c r="K13" s="96">
        <v>40.19</v>
      </c>
      <c r="L13" s="89" t="s">
        <v>185</v>
      </c>
      <c r="M13" s="96">
        <v>1.5669999999999999</v>
      </c>
      <c r="N13" s="77" t="s">
        <v>196</v>
      </c>
    </row>
    <row r="14" spans="1:14" x14ac:dyDescent="0.3">
      <c r="A14" s="79" t="s">
        <v>150</v>
      </c>
      <c r="B14" s="79">
        <v>40.229999999999997</v>
      </c>
      <c r="F14" s="79">
        <v>5</v>
      </c>
      <c r="G14" s="80">
        <v>42.4</v>
      </c>
      <c r="H14" s="77">
        <f t="shared" si="0"/>
        <v>2.2100000000000009</v>
      </c>
      <c r="M14" s="95">
        <f>M13/2</f>
        <v>0.78349999999999997</v>
      </c>
      <c r="N14" s="77" t="s">
        <v>195</v>
      </c>
    </row>
    <row r="15" spans="1:14" ht="15" thickBot="1" x14ac:dyDescent="0.35">
      <c r="A15" s="79" t="s">
        <v>151</v>
      </c>
      <c r="B15" s="79">
        <v>40</v>
      </c>
      <c r="F15" s="79">
        <v>6</v>
      </c>
      <c r="G15" s="80">
        <v>40.229999999999997</v>
      </c>
      <c r="H15" s="77">
        <f t="shared" si="0"/>
        <v>3.9999999999999147E-2</v>
      </c>
      <c r="M15" s="83">
        <f>(M14/K13)*100</f>
        <v>1.9494899228663849</v>
      </c>
      <c r="N15" s="77" t="s">
        <v>197</v>
      </c>
    </row>
    <row r="16" spans="1:14" x14ac:dyDescent="0.3">
      <c r="A16" s="79" t="s">
        <v>152</v>
      </c>
      <c r="B16" s="79">
        <v>40.22</v>
      </c>
      <c r="F16" s="79">
        <v>7</v>
      </c>
      <c r="G16" s="80">
        <v>40.340000000000003</v>
      </c>
      <c r="H16" s="77">
        <f t="shared" si="0"/>
        <v>0.15000000000000568</v>
      </c>
    </row>
    <row r="17" spans="1:10" x14ac:dyDescent="0.3">
      <c r="A17" s="79" t="s">
        <v>153</v>
      </c>
      <c r="B17" s="79">
        <v>40.229999999999997</v>
      </c>
      <c r="F17" s="79">
        <v>8</v>
      </c>
      <c r="G17" s="80">
        <v>39.5</v>
      </c>
      <c r="H17" s="77">
        <f t="shared" si="0"/>
        <v>-0.68999999999999773</v>
      </c>
    </row>
    <row r="18" spans="1:10" x14ac:dyDescent="0.3">
      <c r="A18" s="79" t="s">
        <v>154</v>
      </c>
      <c r="B18" s="79">
        <v>40</v>
      </c>
      <c r="F18" s="79">
        <v>9</v>
      </c>
      <c r="G18" s="80">
        <v>40.229999999999997</v>
      </c>
      <c r="H18" s="77">
        <f t="shared" si="0"/>
        <v>3.9999999999999147E-2</v>
      </c>
    </row>
    <row r="19" spans="1:10" x14ac:dyDescent="0.3">
      <c r="A19" s="79" t="s">
        <v>155</v>
      </c>
      <c r="B19" s="79">
        <v>40.22</v>
      </c>
      <c r="F19" s="79">
        <v>10</v>
      </c>
      <c r="G19" s="80">
        <v>40.11</v>
      </c>
      <c r="H19" s="77">
        <f t="shared" si="0"/>
        <v>-7.9999999999998295E-2</v>
      </c>
    </row>
    <row r="20" spans="1:10" x14ac:dyDescent="0.3">
      <c r="A20" s="79" t="s">
        <v>156</v>
      </c>
      <c r="B20" s="79">
        <v>40.229999999999997</v>
      </c>
      <c r="F20" s="79">
        <v>11</v>
      </c>
      <c r="G20" s="80">
        <v>40.229999999999997</v>
      </c>
      <c r="H20" s="77">
        <f t="shared" si="0"/>
        <v>3.9999999999999147E-2</v>
      </c>
    </row>
    <row r="21" spans="1:10" x14ac:dyDescent="0.3">
      <c r="A21" s="79" t="s">
        <v>157</v>
      </c>
      <c r="B21" s="79">
        <v>40</v>
      </c>
      <c r="F21" s="79">
        <v>12</v>
      </c>
      <c r="G21" s="80">
        <v>40.11</v>
      </c>
      <c r="H21" s="77">
        <f t="shared" si="0"/>
        <v>-7.9999999999998295E-2</v>
      </c>
    </row>
    <row r="22" spans="1:10" x14ac:dyDescent="0.3">
      <c r="A22" s="79" t="s">
        <v>158</v>
      </c>
      <c r="B22" s="79">
        <v>40.22</v>
      </c>
      <c r="F22" s="79">
        <v>13</v>
      </c>
      <c r="G22" s="80">
        <v>40.19</v>
      </c>
      <c r="H22" s="77">
        <f t="shared" si="0"/>
        <v>0</v>
      </c>
    </row>
    <row r="23" spans="1:10" x14ac:dyDescent="0.3">
      <c r="A23" s="79" t="s">
        <v>159</v>
      </c>
      <c r="B23" s="79">
        <v>44</v>
      </c>
      <c r="F23" s="79">
        <v>14</v>
      </c>
      <c r="G23" s="80">
        <v>40.19</v>
      </c>
      <c r="H23" s="77">
        <f t="shared" si="0"/>
        <v>0</v>
      </c>
    </row>
    <row r="24" spans="1:10" x14ac:dyDescent="0.3">
      <c r="A24" s="79" t="s">
        <v>160</v>
      </c>
      <c r="B24" s="79">
        <v>40</v>
      </c>
      <c r="F24" s="79">
        <v>15</v>
      </c>
      <c r="G24" s="80">
        <v>42.4</v>
      </c>
      <c r="H24" s="77">
        <f t="shared" si="0"/>
        <v>2.2100000000000009</v>
      </c>
    </row>
    <row r="25" spans="1:10" x14ac:dyDescent="0.3">
      <c r="A25" s="79" t="s">
        <v>161</v>
      </c>
      <c r="B25" s="79">
        <v>41</v>
      </c>
      <c r="F25" s="79" t="s">
        <v>190</v>
      </c>
      <c r="G25" s="91">
        <f>AVERAGE(G10:G24)</f>
        <v>40.443333333333335</v>
      </c>
      <c r="H25" s="93">
        <f>AVERAGE(H10:H24)</f>
        <v>0.25333333333333408</v>
      </c>
      <c r="I25" s="85">
        <f>(((K13-G25)/K13)*100)</f>
        <v>-0.63033922202870718</v>
      </c>
      <c r="J25" s="77" t="s">
        <v>191</v>
      </c>
    </row>
    <row r="26" spans="1:10" x14ac:dyDescent="0.3">
      <c r="A26" s="79" t="s">
        <v>162</v>
      </c>
      <c r="B26" s="79">
        <v>40.229999999999997</v>
      </c>
      <c r="F26" s="79" t="s">
        <v>178</v>
      </c>
      <c r="G26" s="91">
        <f>_xlfn.STDEV.S(G10:G24)</f>
        <v>0.81633909854270958</v>
      </c>
      <c r="H26" s="93">
        <f>_xlfn.STDEV.S(H10:H24)</f>
        <v>0.81633909854270958</v>
      </c>
      <c r="I26" s="85">
        <f>(G26/G25)*100</f>
        <v>2.0184763006907844</v>
      </c>
      <c r="J26" s="77" t="s">
        <v>192</v>
      </c>
    </row>
    <row r="27" spans="1:10" x14ac:dyDescent="0.3">
      <c r="A27" s="79" t="s">
        <v>163</v>
      </c>
      <c r="B27" s="79">
        <v>40</v>
      </c>
      <c r="F27" s="79" t="s">
        <v>142</v>
      </c>
      <c r="G27" s="79">
        <f>COUNT(G10:G24)</f>
        <v>15</v>
      </c>
      <c r="H27" s="94">
        <f>COUNT(H10:H24)</f>
        <v>15</v>
      </c>
      <c r="I27" s="92">
        <f>SQRT(G27)</f>
        <v>3.872983346207417</v>
      </c>
      <c r="J27" s="77" t="s">
        <v>193</v>
      </c>
    </row>
    <row r="28" spans="1:10" x14ac:dyDescent="0.3">
      <c r="A28" s="79" t="s">
        <v>164</v>
      </c>
      <c r="B28" s="79">
        <v>40.22</v>
      </c>
      <c r="F28" s="79" t="s">
        <v>194</v>
      </c>
      <c r="I28" s="92">
        <f>I26/I27</f>
        <v>0.52116833981931743</v>
      </c>
    </row>
    <row r="29" spans="1:10" x14ac:dyDescent="0.3">
      <c r="A29" s="79" t="s">
        <v>165</v>
      </c>
      <c r="B29" s="79">
        <v>40.229999999999997</v>
      </c>
    </row>
    <row r="30" spans="1:10" x14ac:dyDescent="0.3">
      <c r="A30" s="79" t="s">
        <v>166</v>
      </c>
      <c r="B30" s="79">
        <v>40</v>
      </c>
    </row>
    <row r="31" spans="1:10" x14ac:dyDescent="0.3">
      <c r="A31" s="79" t="s">
        <v>167</v>
      </c>
      <c r="B31" s="79">
        <v>40.22</v>
      </c>
    </row>
    <row r="32" spans="1:10" x14ac:dyDescent="0.3">
      <c r="A32" s="79" t="s">
        <v>168</v>
      </c>
      <c r="B32" s="79">
        <v>40.229999999999997</v>
      </c>
    </row>
    <row r="33" spans="1:10" x14ac:dyDescent="0.3">
      <c r="A33" s="79" t="s">
        <v>169</v>
      </c>
      <c r="B33" s="79">
        <v>38</v>
      </c>
    </row>
    <row r="34" spans="1:10" x14ac:dyDescent="0.3">
      <c r="A34" s="79" t="s">
        <v>170</v>
      </c>
      <c r="B34" s="79">
        <v>40</v>
      </c>
    </row>
    <row r="35" spans="1:10" x14ac:dyDescent="0.3">
      <c r="A35" s="79" t="s">
        <v>171</v>
      </c>
      <c r="B35" s="79">
        <v>39</v>
      </c>
    </row>
    <row r="36" spans="1:10" x14ac:dyDescent="0.3">
      <c r="A36" s="79" t="s">
        <v>172</v>
      </c>
      <c r="B36" s="79">
        <v>40</v>
      </c>
      <c r="H36" s="81"/>
    </row>
    <row r="37" spans="1:10" x14ac:dyDescent="0.3">
      <c r="A37" s="79" t="s">
        <v>173</v>
      </c>
      <c r="B37" s="79">
        <v>36</v>
      </c>
      <c r="F37" s="81" t="s">
        <v>201</v>
      </c>
    </row>
    <row r="38" spans="1:10" x14ac:dyDescent="0.3">
      <c r="A38" s="79" t="s">
        <v>174</v>
      </c>
      <c r="B38" s="79">
        <v>40.229999999999997</v>
      </c>
      <c r="F38" s="79" t="s">
        <v>202</v>
      </c>
      <c r="G38" s="79"/>
      <c r="H38" s="79"/>
      <c r="I38" s="97">
        <f>SQRT(I25^2+I28^2+M15^2)</f>
        <v>2.1141085432435496</v>
      </c>
    </row>
    <row r="39" spans="1:10" x14ac:dyDescent="0.3">
      <c r="A39" s="79" t="s">
        <v>175</v>
      </c>
      <c r="B39" s="79">
        <v>40</v>
      </c>
      <c r="F39" s="79" t="s">
        <v>198</v>
      </c>
      <c r="G39" s="79"/>
      <c r="H39" s="79"/>
      <c r="I39" s="97">
        <f>SQRT(B43^2+I38^2)</f>
        <v>3.5380163548700323</v>
      </c>
    </row>
    <row r="40" spans="1:10" x14ac:dyDescent="0.3">
      <c r="A40" s="79" t="s">
        <v>176</v>
      </c>
      <c r="B40" s="79">
        <v>40.229999999999997</v>
      </c>
      <c r="F40" s="79" t="s">
        <v>199</v>
      </c>
      <c r="G40" s="79"/>
      <c r="H40" s="79"/>
      <c r="I40" s="97">
        <f>2*I39</f>
        <v>7.0760327097400646</v>
      </c>
      <c r="J40" s="82" t="s">
        <v>200</v>
      </c>
    </row>
    <row r="41" spans="1:10" x14ac:dyDescent="0.3">
      <c r="A41" s="79" t="s">
        <v>177</v>
      </c>
      <c r="B41" s="84">
        <f>AVERAGE(B10:B40)</f>
        <v>40.05193548387097</v>
      </c>
    </row>
    <row r="42" spans="1:10" x14ac:dyDescent="0.3">
      <c r="A42" s="79" t="s">
        <v>178</v>
      </c>
      <c r="B42" s="84">
        <f>_xlfn.STDEV.S(B10:B40)</f>
        <v>1.136240641633155</v>
      </c>
    </row>
    <row r="43" spans="1:10" x14ac:dyDescent="0.3">
      <c r="A43" s="79" t="s">
        <v>143</v>
      </c>
      <c r="B43" s="85">
        <f>(B42/B41)*100</f>
        <v>2.8369181861154309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Предел обнаружения</vt:lpstr>
      <vt:lpstr>Прецизионность</vt:lpstr>
      <vt:lpstr>Правильность</vt:lpstr>
      <vt:lpstr>Неопределенность</vt:lpstr>
      <vt:lpstr>Правильность!_Hlk167449466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2024-05-16T09:58:43Z</dcterms:created>
  <dcterms:modified xsi:type="dcterms:W3CDTF">2024-11-14T03:41:46Z</dcterms:modified>
</cp:coreProperties>
</file>